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n.ushravani/Downloads/"/>
    </mc:Choice>
  </mc:AlternateContent>
  <xr:revisionPtr revIDLastSave="0" documentId="8_{2A39A4C4-9826-034B-A4CD-72D867FE01E9}" xr6:coauthVersionLast="47" xr6:coauthVersionMax="47" xr10:uidLastSave="{00000000-0000-0000-0000-000000000000}"/>
  <bookViews>
    <workbookView xWindow="0" yWindow="500" windowWidth="28800" windowHeight="17500" activeTab="3" xr2:uid="{7D602F91-5527-4F03-9D4E-79A8F449CE7F}"/>
  </bookViews>
  <sheets>
    <sheet name="General Info" sheetId="2" r:id="rId1"/>
    <sheet name="Tear Sheet" sheetId="1" r:id="rId2"/>
    <sheet name="CAPM &amp; WACC" sheetId="3" r:id="rId3"/>
    <sheet name="FCF" sheetId="4" r:id="rId4"/>
  </sheets>
  <definedNames>
    <definedName name="Beta">'CAPM &amp; WACC'!$I$5</definedName>
    <definedName name="Bond_Rate">#REF!</definedName>
    <definedName name="CAGR">'CAPM &amp; WACC'!$H$1</definedName>
    <definedName name="CAGR_SPY">'CAPM &amp; WACC'!$L$3</definedName>
    <definedName name="EquityValue">'CAPM &amp; WACC'!$I$15</definedName>
    <definedName name="Long_gr">FCF!$D$42</definedName>
    <definedName name="Rf">'CAPM &amp; WACC'!$I$10</definedName>
    <definedName name="Rm">'CAPM &amp; WACC'!$I$9</definedName>
    <definedName name="Shares">'CAPM &amp; WACC'!$L$17</definedName>
    <definedName name="TaxRate">'CAPM &amp; WACC'!$I$19</definedName>
    <definedName name="TotalDebt">'CAPM &amp; WACC'!$H$16</definedName>
    <definedName name="WACC">'CAPM &amp; WACC'!$I$20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M18" i="3"/>
  <c r="L18" i="3"/>
  <c r="D46" i="4"/>
  <c r="D57" i="4" s="1"/>
  <c r="L19" i="3"/>
  <c r="I18" i="3" s="1"/>
  <c r="D49" i="4"/>
  <c r="L15" i="3"/>
  <c r="L16" i="3"/>
  <c r="I15" i="3" l="1"/>
  <c r="D55" i="4" s="1"/>
  <c r="D56" i="4" s="1"/>
  <c r="H33" i="4"/>
  <c r="D35" i="4"/>
  <c r="E33" i="4"/>
  <c r="F33" i="4"/>
  <c r="G33" i="4"/>
  <c r="D33" i="4"/>
  <c r="R7" i="4"/>
  <c r="S7" i="4"/>
  <c r="T7" i="4"/>
  <c r="Q7" i="4"/>
  <c r="Q3" i="4" l="1"/>
  <c r="R3" i="4"/>
  <c r="E17" i="4"/>
  <c r="F17" i="4"/>
  <c r="G17" i="4"/>
  <c r="H17" i="4"/>
  <c r="D17" i="4"/>
  <c r="E28" i="4"/>
  <c r="F28" i="4"/>
  <c r="G28" i="4"/>
  <c r="H28" i="4"/>
  <c r="D28" i="4"/>
  <c r="F21" i="4"/>
  <c r="G21" i="4"/>
  <c r="E21" i="4"/>
  <c r="D21" i="4"/>
  <c r="D34" i="4" s="1"/>
  <c r="H21" i="4"/>
  <c r="J7" i="4"/>
  <c r="K7" i="4"/>
  <c r="L7" i="4"/>
  <c r="M7" i="4"/>
  <c r="I7" i="4"/>
  <c r="S3" i="4"/>
  <c r="T3" i="4"/>
  <c r="D7" i="4"/>
  <c r="P5" i="4" s="1"/>
  <c r="G9" i="4"/>
  <c r="G10" i="4" s="1"/>
  <c r="F9" i="4"/>
  <c r="F10" i="4" s="1"/>
  <c r="E9" i="4"/>
  <c r="D9" i="4"/>
  <c r="H9" i="4"/>
  <c r="H10" i="4" s="1"/>
  <c r="G7" i="4"/>
  <c r="S5" i="4" s="1"/>
  <c r="F7" i="4"/>
  <c r="R5" i="4" s="1"/>
  <c r="E7" i="4"/>
  <c r="Q5" i="4" s="1"/>
  <c r="H7" i="4"/>
  <c r="T5" i="4" s="1"/>
  <c r="I16" i="3"/>
  <c r="G5" i="4"/>
  <c r="S4" i="4" s="1"/>
  <c r="F5" i="4"/>
  <c r="R4" i="4" s="1"/>
  <c r="E5" i="4"/>
  <c r="Q4" i="4" s="1"/>
  <c r="D5" i="4"/>
  <c r="P4" i="4" s="1"/>
  <c r="H5" i="4"/>
  <c r="T4" i="4" s="1"/>
  <c r="L30" i="3"/>
  <c r="L33" i="3"/>
  <c r="L32" i="3"/>
  <c r="L31" i="3"/>
  <c r="H8" i="3"/>
  <c r="J2" i="3"/>
  <c r="J4" i="3"/>
  <c r="I9" i="3" s="1"/>
  <c r="I4" i="3"/>
  <c r="I2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4" i="3"/>
  <c r="E10" i="4" l="1"/>
  <c r="E11" i="4"/>
  <c r="E32" i="4" s="1"/>
  <c r="D10" i="4"/>
  <c r="D11" i="4" s="1"/>
  <c r="D32" i="4" s="1"/>
  <c r="D36" i="4" s="1"/>
  <c r="D59" i="4"/>
  <c r="F23" i="4"/>
  <c r="D23" i="4"/>
  <c r="E23" i="4"/>
  <c r="H23" i="4"/>
  <c r="I17" i="4" s="1"/>
  <c r="I22" i="4" s="1"/>
  <c r="G23" i="4"/>
  <c r="H34" i="4"/>
  <c r="T6" i="4"/>
  <c r="I21" i="4"/>
  <c r="E34" i="4"/>
  <c r="Q6" i="4"/>
  <c r="G34" i="4"/>
  <c r="S6" i="4"/>
  <c r="F11" i="4"/>
  <c r="F32" i="4" s="1"/>
  <c r="F34" i="4"/>
  <c r="R6" i="4"/>
  <c r="H11" i="4"/>
  <c r="H32" i="4" s="1"/>
  <c r="G11" i="4"/>
  <c r="G32" i="4" s="1"/>
  <c r="H29" i="4"/>
  <c r="H35" i="4" s="1"/>
  <c r="F29" i="4"/>
  <c r="F35" i="4" s="1"/>
  <c r="E29" i="4"/>
  <c r="E35" i="4" s="1"/>
  <c r="G29" i="4"/>
  <c r="G35" i="4" s="1"/>
  <c r="Y4" i="4"/>
  <c r="M5" i="4" s="1"/>
  <c r="I19" i="3"/>
  <c r="I5" i="3"/>
  <c r="I8" i="3" s="1"/>
  <c r="I3" i="3"/>
  <c r="J5" i="3"/>
  <c r="J3" i="3"/>
  <c r="F36" i="4" l="1"/>
  <c r="H36" i="4"/>
  <c r="I34" i="4"/>
  <c r="J21" i="4"/>
  <c r="G36" i="4"/>
  <c r="I23" i="4"/>
  <c r="J17" i="4" s="1"/>
  <c r="J22" i="4" s="1"/>
  <c r="E36" i="4"/>
  <c r="I8" i="4"/>
  <c r="I33" i="4"/>
  <c r="I11" i="3"/>
  <c r="I17" i="3" s="1"/>
  <c r="I20" i="3" s="1"/>
  <c r="J23" i="4" l="1"/>
  <c r="K17" i="4" s="1"/>
  <c r="K22" i="4" s="1"/>
  <c r="K21" i="4"/>
  <c r="J34" i="4"/>
  <c r="J8" i="4"/>
  <c r="J33" i="4"/>
  <c r="L21" i="4" l="1"/>
  <c r="K34" i="4"/>
  <c r="K23" i="4"/>
  <c r="L17" i="4" s="1"/>
  <c r="K33" i="4"/>
  <c r="K8" i="4"/>
  <c r="L22" i="4" l="1"/>
  <c r="L23" i="4" s="1"/>
  <c r="M17" i="4" s="1"/>
  <c r="M21" i="4"/>
  <c r="M34" i="4" s="1"/>
  <c r="L34" i="4"/>
  <c r="I3" i="4"/>
  <c r="I6" i="4" s="1"/>
  <c r="I26" i="4"/>
  <c r="I27" i="4"/>
  <c r="L8" i="4" l="1"/>
  <c r="L33" i="4"/>
  <c r="M22" i="4"/>
  <c r="M23" i="4" s="1"/>
  <c r="I28" i="4"/>
  <c r="I29" i="4" s="1"/>
  <c r="I35" i="4" s="1"/>
  <c r="M8" i="4" l="1"/>
  <c r="M33" i="4"/>
  <c r="J3" i="4" l="1"/>
  <c r="J26" i="4"/>
  <c r="K26" i="4" s="1"/>
  <c r="J27" i="4"/>
  <c r="K27" i="4" s="1"/>
  <c r="L27" i="4" s="1"/>
  <c r="M27" i="4" s="1"/>
  <c r="J28" i="4" l="1"/>
  <c r="J29" i="4" s="1"/>
  <c r="J35" i="4" s="1"/>
  <c r="J6" i="4"/>
  <c r="K3" i="4"/>
  <c r="K28" i="4"/>
  <c r="K29" i="4" s="1"/>
  <c r="K35" i="4" s="1"/>
  <c r="L26" i="4"/>
  <c r="L3" i="4" l="1"/>
  <c r="K6" i="4"/>
  <c r="L28" i="4"/>
  <c r="L29" i="4" s="1"/>
  <c r="L35" i="4" s="1"/>
  <c r="M26" i="4"/>
  <c r="M28" i="4" s="1"/>
  <c r="M29" i="4" l="1"/>
  <c r="M35" i="4" s="1"/>
  <c r="M3" i="4"/>
  <c r="L6" i="4"/>
  <c r="M4" i="4" l="1"/>
  <c r="M6" i="4"/>
  <c r="M9" i="4" l="1"/>
  <c r="M10" i="4" s="1"/>
  <c r="M11" i="4" s="1"/>
  <c r="M32" i="4" s="1"/>
  <c r="M36" i="4" s="1"/>
  <c r="H39" i="4" s="1"/>
  <c r="I4" i="4"/>
  <c r="J4" i="4"/>
  <c r="K4" i="4"/>
  <c r="L4" i="4"/>
  <c r="U4" i="4"/>
  <c r="V4" i="4"/>
  <c r="W4" i="4"/>
  <c r="X4" i="4"/>
  <c r="I5" i="4"/>
  <c r="J5" i="4"/>
  <c r="K5" i="4"/>
  <c r="L5" i="4"/>
  <c r="I9" i="4"/>
  <c r="J9" i="4"/>
  <c r="K9" i="4"/>
  <c r="L9" i="4"/>
  <c r="I10" i="4"/>
  <c r="J10" i="4"/>
  <c r="K10" i="4"/>
  <c r="L10" i="4"/>
  <c r="I11" i="4"/>
  <c r="J11" i="4"/>
  <c r="K11" i="4"/>
  <c r="L11" i="4"/>
  <c r="I32" i="4"/>
  <c r="J32" i="4"/>
  <c r="K32" i="4"/>
  <c r="L32" i="4"/>
  <c r="I36" i="4"/>
  <c r="J36" i="4"/>
  <c r="K36" i="4"/>
  <c r="L36" i="4"/>
  <c r="D40" i="4"/>
  <c r="E40" i="4"/>
  <c r="F40" i="4"/>
  <c r="G40" i="4"/>
  <c r="H40" i="4"/>
  <c r="D45" i="4"/>
  <c r="D48" i="4"/>
  <c r="D50" i="4"/>
  <c r="D52" i="4"/>
  <c r="D60" i="4"/>
</calcChain>
</file>

<file path=xl/sharedStrings.xml><?xml version="1.0" encoding="utf-8"?>
<sst xmlns="http://schemas.openxmlformats.org/spreadsheetml/2006/main" count="138" uniqueCount="92">
  <si>
    <t>Table of Contents</t>
  </si>
  <si>
    <t>Date</t>
  </si>
  <si>
    <t>M8G</t>
  </si>
  <si>
    <t>M8G Return</t>
  </si>
  <si>
    <t>SPY</t>
  </si>
  <si>
    <t>SPY Return</t>
  </si>
  <si>
    <t>EUR/USD Spot Rate</t>
  </si>
  <si>
    <t>Risk</t>
  </si>
  <si>
    <t>Return</t>
  </si>
  <si>
    <t>Hard-coded</t>
  </si>
  <si>
    <t>Beta</t>
  </si>
  <si>
    <t>CAPM</t>
  </si>
  <si>
    <t>Rm</t>
  </si>
  <si>
    <t>Rf</t>
  </si>
  <si>
    <t>Required Rate of Return</t>
  </si>
  <si>
    <t>WACC Calculation ($ thousands)</t>
  </si>
  <si>
    <t>Extra Inputs for WACC</t>
  </si>
  <si>
    <t>Market Value of Equity</t>
  </si>
  <si>
    <t>Current Debt</t>
  </si>
  <si>
    <t>Market Value of Debt</t>
  </si>
  <si>
    <t>Long-term Debt</t>
  </si>
  <si>
    <t>Cost of Equity</t>
  </si>
  <si>
    <t>Shares Outstanding</t>
  </si>
  <si>
    <t>Cost of Debt</t>
  </si>
  <si>
    <t>Current Share Price</t>
  </si>
  <si>
    <t>Tax Rate</t>
  </si>
  <si>
    <t>Interest Expense ($ thousands)</t>
  </si>
  <si>
    <t>WACC</t>
  </si>
  <si>
    <t>Pretax Income</t>
  </si>
  <si>
    <t>Tax Provision</t>
  </si>
  <si>
    <t>Annual Tax Rate</t>
  </si>
  <si>
    <t>2018A</t>
  </si>
  <si>
    <t>2019A</t>
  </si>
  <si>
    <t>2020A</t>
  </si>
  <si>
    <t>2021A</t>
  </si>
  <si>
    <t>2022A</t>
  </si>
  <si>
    <t>2023F</t>
  </si>
  <si>
    <t>2024F</t>
  </si>
  <si>
    <t>2025F</t>
  </si>
  <si>
    <t>2026F</t>
  </si>
  <si>
    <t>2027F</t>
  </si>
  <si>
    <t>Revenue</t>
  </si>
  <si>
    <t>Revenue Growth</t>
  </si>
  <si>
    <t>COGS</t>
  </si>
  <si>
    <t>COGS (% of Revenue)</t>
  </si>
  <si>
    <t>COGS Margin</t>
  </si>
  <si>
    <t>SGA (% of Revenue)</t>
  </si>
  <si>
    <t>SGA</t>
  </si>
  <si>
    <t>SGA Margin</t>
  </si>
  <si>
    <t>Depreciation</t>
  </si>
  <si>
    <t>Operating Profit</t>
  </si>
  <si>
    <t>Tax Rate (18.27%)</t>
  </si>
  <si>
    <t>Fixed Assets</t>
  </si>
  <si>
    <t>Total Gross goodwill and intangible assets</t>
  </si>
  <si>
    <t>Total PP&amp;E</t>
  </si>
  <si>
    <t>CapEx</t>
  </si>
  <si>
    <t>Total Purchase of PP&amp;E</t>
  </si>
  <si>
    <t>Total Purchase of Business</t>
  </si>
  <si>
    <t>Total CapEx</t>
  </si>
  <si>
    <t>Current Assets</t>
  </si>
  <si>
    <t>Current Liabilities</t>
  </si>
  <si>
    <t>Net Current Assets</t>
  </si>
  <si>
    <t>Changes in NWC</t>
  </si>
  <si>
    <t>Total Fixed Assets</t>
  </si>
  <si>
    <t>Depreciation &amp; Amortization</t>
  </si>
  <si>
    <t>End Assets</t>
  </si>
  <si>
    <t>CapEx Growth</t>
  </si>
  <si>
    <t>NOPAT</t>
  </si>
  <si>
    <t>Add Dep.</t>
  </si>
  <si>
    <t>Subtract CapEX</t>
  </si>
  <si>
    <t>Subtract Changes in NWC</t>
  </si>
  <si>
    <t>Terminal Value</t>
  </si>
  <si>
    <t>Total FCF</t>
  </si>
  <si>
    <t>Subtract Debt</t>
  </si>
  <si>
    <t>Excess Cash</t>
  </si>
  <si>
    <t>Equity Value</t>
  </si>
  <si>
    <t>Long Term Growth Rate</t>
  </si>
  <si>
    <t>Number of shares outstanding</t>
  </si>
  <si>
    <t>Dep (% of fixed assets)</t>
  </si>
  <si>
    <t xml:space="preserve"> </t>
  </si>
  <si>
    <t>Value of Firm</t>
  </si>
  <si>
    <t>$ thousand</t>
  </si>
  <si>
    <t>Current Market Price</t>
  </si>
  <si>
    <t>Share Valuation</t>
  </si>
  <si>
    <t>Intrinsic Value Per Share</t>
  </si>
  <si>
    <t>Premium for Acquisition</t>
  </si>
  <si>
    <t>Value of Debt</t>
  </si>
  <si>
    <t>Net Cost of Acquisition</t>
  </si>
  <si>
    <t>Gain from Acquisition</t>
  </si>
  <si>
    <t>Equity Valuation</t>
  </si>
  <si>
    <t>As of Feb 23rd</t>
  </si>
  <si>
    <t>Acquisition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</si>
</sst>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_);_(&quot;$&quot;* \(#,##0\);_(&quot;$&quot;* &quot;-&quot;??_);_(@_)"/>
    <numFmt numFmtId="166" formatCode="#,##0;[Red]\(#,##0\)"/>
    <numFmt numFmtId="167" formatCode="_([$$-409]* #,##0_);_([$$-409]* \(#,##0\);_([$$-409]* &quot;-&quot;??_);_(@_)"/>
    <numFmt numFmtId="168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horizontal="right"/>
    </xf>
    <xf numFmtId="0" fontId="10" fillId="0" borderId="0">
      <alignment horizontal="right"/>
    </xf>
  </cellStyleXfs>
  <cellXfs count="142">
    <xf numFmtId="0" fontId="0" fillId="0" borderId="0" xfId="0"/>
    <xf numFmtId="0" fontId="2" fillId="0" borderId="0" xfId="0" applyFont="1"/>
    <xf numFmtId="14" fontId="2" fillId="0" borderId="0" xfId="0" applyNumberFormat="1" applyFont="1"/>
    <xf numFmtId="10" fontId="2" fillId="0" borderId="0" xfId="3" applyNumberFormat="1" applyFont="1"/>
    <xf numFmtId="0" fontId="2" fillId="0" borderId="4" xfId="0" applyFont="1" applyBorder="1"/>
    <xf numFmtId="10" fontId="2" fillId="0" borderId="4" xfId="3" applyNumberFormat="1" applyFont="1" applyBorder="1"/>
    <xf numFmtId="10" fontId="2" fillId="0" borderId="6" xfId="3" applyNumberFormat="1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43" fontId="2" fillId="0" borderId="11" xfId="1" applyFont="1" applyBorder="1"/>
    <xf numFmtId="43" fontId="2" fillId="0" borderId="12" xfId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0" fontId="2" fillId="0" borderId="11" xfId="3" applyNumberFormat="1" applyFont="1" applyBorder="1"/>
    <xf numFmtId="10" fontId="2" fillId="0" borderId="12" xfId="3" applyNumberFormat="1" applyFont="1" applyBorder="1"/>
    <xf numFmtId="0" fontId="2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8" xfId="0" applyFont="1" applyBorder="1"/>
    <xf numFmtId="10" fontId="2" fillId="0" borderId="11" xfId="3" applyNumberFormat="1" applyFont="1" applyFill="1" applyBorder="1"/>
    <xf numFmtId="10" fontId="2" fillId="0" borderId="4" xfId="3" applyNumberFormat="1" applyFont="1" applyFill="1" applyBorder="1"/>
    <xf numFmtId="0" fontId="2" fillId="0" borderId="6" xfId="0" applyFont="1" applyBorder="1"/>
    <xf numFmtId="0" fontId="2" fillId="0" borderId="5" xfId="0" applyFont="1" applyBorder="1"/>
    <xf numFmtId="43" fontId="2" fillId="0" borderId="4" xfId="0" applyNumberFormat="1" applyFont="1" applyBorder="1"/>
    <xf numFmtId="10" fontId="2" fillId="0" borderId="4" xfId="0" applyNumberFormat="1" applyFont="1" applyBorder="1"/>
    <xf numFmtId="0" fontId="2" fillId="0" borderId="15" xfId="0" applyFont="1" applyBorder="1"/>
    <xf numFmtId="0" fontId="5" fillId="2" borderId="7" xfId="0" applyFont="1" applyFill="1" applyBorder="1"/>
    <xf numFmtId="10" fontId="5" fillId="2" borderId="3" xfId="3" applyNumberFormat="1" applyFont="1" applyFill="1" applyBorder="1"/>
    <xf numFmtId="10" fontId="5" fillId="2" borderId="3" xfId="0" applyNumberFormat="1" applyFont="1" applyFill="1" applyBorder="1"/>
    <xf numFmtId="165" fontId="2" fillId="0" borderId="19" xfId="2" applyNumberFormat="1" applyFont="1" applyFill="1" applyBorder="1"/>
    <xf numFmtId="165" fontId="2" fillId="0" borderId="4" xfId="2" applyNumberFormat="1" applyFont="1" applyFill="1" applyBorder="1"/>
    <xf numFmtId="165" fontId="2" fillId="0" borderId="17" xfId="2" applyNumberFormat="1" applyFont="1" applyFill="1" applyBorder="1"/>
    <xf numFmtId="10" fontId="2" fillId="0" borderId="6" xfId="3" applyNumberFormat="1" applyFont="1" applyFill="1" applyBorder="1"/>
    <xf numFmtId="166" fontId="2" fillId="0" borderId="0" xfId="0" applyNumberFormat="1" applyFont="1"/>
    <xf numFmtId="3" fontId="7" fillId="0" borderId="0" xfId="0" applyNumberFormat="1" applyFont="1"/>
    <xf numFmtId="0" fontId="2" fillId="3" borderId="3" xfId="0" applyFont="1" applyFill="1" applyBorder="1"/>
    <xf numFmtId="0" fontId="8" fillId="3" borderId="7" xfId="0" applyFont="1" applyFill="1" applyBorder="1"/>
    <xf numFmtId="165" fontId="9" fillId="0" borderId="4" xfId="2" applyNumberFormat="1" applyFont="1" applyFill="1" applyBorder="1"/>
    <xf numFmtId="44" fontId="9" fillId="0" borderId="4" xfId="2" applyFont="1" applyBorder="1"/>
    <xf numFmtId="44" fontId="2" fillId="0" borderId="4" xfId="2" applyFont="1" applyBorder="1"/>
    <xf numFmtId="10" fontId="2" fillId="4" borderId="4" xfId="0" applyNumberFormat="1" applyFont="1" applyFill="1" applyBorder="1"/>
    <xf numFmtId="0" fontId="8" fillId="4" borderId="1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65" fontId="2" fillId="3" borderId="11" xfId="2" applyNumberFormat="1" applyFont="1" applyFill="1" applyBorder="1"/>
    <xf numFmtId="165" fontId="2" fillId="3" borderId="11" xfId="2" applyNumberFormat="1" applyFont="1" applyFill="1" applyBorder="1" applyAlignment="1">
      <alignment horizontal="right"/>
    </xf>
    <xf numFmtId="9" fontId="2" fillId="3" borderId="11" xfId="3" applyFont="1" applyFill="1" applyBorder="1"/>
    <xf numFmtId="165" fontId="9" fillId="3" borderId="11" xfId="2" applyNumberFormat="1" applyFont="1" applyFill="1" applyBorder="1"/>
    <xf numFmtId="165" fontId="2" fillId="3" borderId="12" xfId="2" applyNumberFormat="1" applyFont="1" applyFill="1" applyBorder="1"/>
    <xf numFmtId="0" fontId="2" fillId="2" borderId="11" xfId="0" applyFont="1" applyFill="1" applyBorder="1"/>
    <xf numFmtId="9" fontId="2" fillId="0" borderId="0" xfId="0" applyNumberFormat="1" applyFont="1"/>
    <xf numFmtId="165" fontId="2" fillId="2" borderId="11" xfId="0" applyNumberFormat="1" applyFont="1" applyFill="1" applyBorder="1"/>
    <xf numFmtId="9" fontId="2" fillId="2" borderId="11" xfId="0" applyNumberFormat="1" applyFont="1" applyFill="1" applyBorder="1"/>
    <xf numFmtId="9" fontId="2" fillId="2" borderId="23" xfId="0" applyNumberFormat="1" applyFont="1" applyFill="1" applyBorder="1"/>
    <xf numFmtId="167" fontId="2" fillId="2" borderId="11" xfId="0" applyNumberFormat="1" applyFont="1" applyFill="1" applyBorder="1"/>
    <xf numFmtId="167" fontId="2" fillId="2" borderId="23" xfId="0" applyNumberFormat="1" applyFont="1" applyFill="1" applyBorder="1"/>
    <xf numFmtId="165" fontId="2" fillId="2" borderId="23" xfId="0" applyNumberFormat="1" applyFont="1" applyFill="1" applyBorder="1"/>
    <xf numFmtId="165" fontId="2" fillId="3" borderId="26" xfId="2" applyNumberFormat="1" applyFont="1" applyFill="1" applyBorder="1"/>
    <xf numFmtId="165" fontId="2" fillId="3" borderId="11" xfId="0" applyNumberFormat="1" applyFont="1" applyFill="1" applyBorder="1"/>
    <xf numFmtId="165" fontId="2" fillId="3" borderId="10" xfId="2" applyNumberFormat="1" applyFont="1" applyFill="1" applyBorder="1"/>
    <xf numFmtId="0" fontId="2" fillId="2" borderId="26" xfId="0" applyFont="1" applyFill="1" applyBorder="1"/>
    <xf numFmtId="0" fontId="4" fillId="3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" fillId="2" borderId="32" xfId="0" applyFont="1" applyFill="1" applyBorder="1"/>
    <xf numFmtId="165" fontId="2" fillId="2" borderId="33" xfId="0" applyNumberFormat="1" applyFont="1" applyFill="1" applyBorder="1"/>
    <xf numFmtId="0" fontId="2" fillId="2" borderId="33" xfId="0" applyFont="1" applyFill="1" applyBorder="1"/>
    <xf numFmtId="165" fontId="2" fillId="2" borderId="12" xfId="2" applyNumberFormat="1" applyFont="1" applyFill="1" applyBorder="1"/>
    <xf numFmtId="165" fontId="2" fillId="2" borderId="34" xfId="2" applyNumberFormat="1" applyFont="1" applyFill="1" applyBorder="1"/>
    <xf numFmtId="0" fontId="2" fillId="0" borderId="36" xfId="0" applyFont="1" applyBorder="1"/>
    <xf numFmtId="165" fontId="2" fillId="0" borderId="27" xfId="0" applyNumberFormat="1" applyFont="1" applyBorder="1"/>
    <xf numFmtId="165" fontId="2" fillId="0" borderId="6" xfId="0" applyNumberFormat="1" applyFont="1" applyBorder="1"/>
    <xf numFmtId="165" fontId="2" fillId="0" borderId="0" xfId="0" applyNumberFormat="1" applyFont="1"/>
    <xf numFmtId="168" fontId="2" fillId="0" borderId="4" xfId="1" applyNumberFormat="1" applyFont="1" applyBorder="1"/>
    <xf numFmtId="0" fontId="8" fillId="0" borderId="28" xfId="0" applyFont="1" applyBorder="1"/>
    <xf numFmtId="0" fontId="4" fillId="0" borderId="31" xfId="0" applyFont="1" applyBorder="1"/>
    <xf numFmtId="0" fontId="4" fillId="0" borderId="31" xfId="0" applyFont="1" applyBorder="1" applyAlignment="1">
      <alignment horizontal="left" indent="1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5" xfId="0" applyFont="1" applyBorder="1"/>
    <xf numFmtId="0" fontId="8" fillId="0" borderId="38" xfId="0" applyFont="1" applyBorder="1"/>
    <xf numFmtId="44" fontId="2" fillId="5" borderId="4" xfId="2" applyFont="1" applyFill="1" applyBorder="1"/>
    <xf numFmtId="0" fontId="5" fillId="0" borderId="8" xfId="0" applyFont="1" applyBorder="1"/>
    <xf numFmtId="9" fontId="2" fillId="0" borderId="0" xfId="3" applyFont="1" applyBorder="1"/>
    <xf numFmtId="9" fontId="2" fillId="0" borderId="4" xfId="0" applyNumberFormat="1" applyFont="1" applyBorder="1"/>
    <xf numFmtId="0" fontId="5" fillId="0" borderId="9" xfId="0" applyFont="1" applyBorder="1"/>
    <xf numFmtId="0" fontId="2" fillId="0" borderId="27" xfId="0" applyFont="1" applyBorder="1"/>
    <xf numFmtId="9" fontId="2" fillId="0" borderId="27" xfId="3" applyFont="1" applyBorder="1"/>
    <xf numFmtId="9" fontId="2" fillId="0" borderId="27" xfId="0" applyNumberFormat="1" applyFont="1" applyBorder="1"/>
    <xf numFmtId="9" fontId="2" fillId="0" borderId="6" xfId="0" applyNumberFormat="1" applyFont="1" applyBorder="1"/>
    <xf numFmtId="0" fontId="2" fillId="0" borderId="38" xfId="0" applyFont="1" applyBorder="1"/>
    <xf numFmtId="167" fontId="2" fillId="2" borderId="33" xfId="0" applyNumberFormat="1" applyFont="1" applyFill="1" applyBorder="1"/>
    <xf numFmtId="9" fontId="2" fillId="2" borderId="33" xfId="0" applyNumberFormat="1" applyFont="1" applyFill="1" applyBorder="1"/>
    <xf numFmtId="0" fontId="4" fillId="0" borderId="7" xfId="0" applyFont="1" applyBorder="1"/>
    <xf numFmtId="165" fontId="2" fillId="2" borderId="10" xfId="0" applyNumberFormat="1" applyFont="1" applyFill="1" applyBorder="1"/>
    <xf numFmtId="165" fontId="2" fillId="2" borderId="3" xfId="0" applyNumberFormat="1" applyFont="1" applyFill="1" applyBorder="1"/>
    <xf numFmtId="165" fontId="2" fillId="2" borderId="26" xfId="2" applyNumberFormat="1" applyFont="1" applyFill="1" applyBorder="1"/>
    <xf numFmtId="165" fontId="2" fillId="2" borderId="32" xfId="2" applyNumberFormat="1" applyFont="1" applyFill="1" applyBorder="1"/>
    <xf numFmtId="165" fontId="2" fillId="2" borderId="11" xfId="2" applyNumberFormat="1" applyFont="1" applyFill="1" applyBorder="1"/>
    <xf numFmtId="165" fontId="2" fillId="2" borderId="33" xfId="2" applyNumberFormat="1" applyFont="1" applyFill="1" applyBorder="1"/>
    <xf numFmtId="0" fontId="4" fillId="0" borderId="0" xfId="0" applyFont="1"/>
    <xf numFmtId="43" fontId="2" fillId="0" borderId="14" xfId="1" applyFont="1" applyBorder="1"/>
    <xf numFmtId="168" fontId="2" fillId="0" borderId="14" xfId="1" applyNumberFormat="1" applyFont="1" applyBorder="1"/>
    <xf numFmtId="44" fontId="8" fillId="0" borderId="6" xfId="2" applyFont="1" applyBorder="1" applyAlignment="1">
      <alignment horizontal="center"/>
    </xf>
    <xf numFmtId="168" fontId="2" fillId="0" borderId="21" xfId="1" applyNumberFormat="1" applyFont="1" applyBorder="1"/>
    <xf numFmtId="10" fontId="2" fillId="0" borderId="0" xfId="0" applyNumberFormat="1" applyFont="1"/>
    <xf numFmtId="165" fontId="2" fillId="0" borderId="37" xfId="0" applyNumberFormat="1" applyFont="1" applyBorder="1"/>
    <xf numFmtId="165" fontId="2" fillId="0" borderId="4" xfId="2" applyNumberFormat="1" applyFont="1" applyBorder="1"/>
    <xf numFmtId="165" fontId="2" fillId="0" borderId="4" xfId="0" applyNumberFormat="1" applyFont="1" applyBorder="1"/>
    <xf numFmtId="165" fontId="2" fillId="5" borderId="6" xfId="2" applyNumberFormat="1" applyFont="1" applyFill="1" applyBorder="1"/>
    <xf numFmtId="165" fontId="4" fillId="3" borderId="24" xfId="2" applyNumberFormat="1" applyFont="1" applyFill="1" applyBorder="1" applyAlignment="1">
      <alignment horizontal="center"/>
    </xf>
    <xf numFmtId="165" fontId="2" fillId="3" borderId="24" xfId="2" applyNumberFormat="1" applyFont="1" applyFill="1" applyBorder="1" applyAlignment="1">
      <alignment horizontal="center"/>
    </xf>
    <xf numFmtId="165" fontId="2" fillId="2" borderId="25" xfId="2" applyNumberFormat="1" applyFont="1" applyFill="1" applyBorder="1" applyAlignment="1">
      <alignment horizontal="center"/>
    </xf>
    <xf numFmtId="165" fontId="2" fillId="2" borderId="24" xfId="2" applyNumberFormat="1" applyFont="1" applyFill="1" applyBorder="1" applyAlignment="1">
      <alignment horizontal="center"/>
    </xf>
    <xf numFmtId="165" fontId="2" fillId="2" borderId="35" xfId="2" applyNumberFormat="1" applyFont="1" applyFill="1" applyBorder="1" applyAlignment="1">
      <alignment horizontal="center"/>
    </xf>
    <xf numFmtId="165" fontId="2" fillId="2" borderId="26" xfId="1" applyNumberFormat="1" applyFont="1" applyFill="1" applyBorder="1"/>
    <xf numFmtId="165" fontId="2" fillId="2" borderId="32" xfId="1" applyNumberFormat="1" applyFont="1" applyFill="1" applyBorder="1"/>
    <xf numFmtId="165" fontId="2" fillId="2" borderId="11" xfId="1" applyNumberFormat="1" applyFont="1" applyFill="1" applyBorder="1"/>
    <xf numFmtId="165" fontId="2" fillId="2" borderId="33" xfId="1" applyNumberFormat="1" applyFont="1" applyFill="1" applyBorder="1"/>
    <xf numFmtId="165" fontId="2" fillId="2" borderId="12" xfId="0" applyNumberFormat="1" applyFont="1" applyFill="1" applyBorder="1"/>
    <xf numFmtId="165" fontId="2" fillId="2" borderId="34" xfId="0" applyNumberFormat="1" applyFont="1" applyFill="1" applyBorder="1"/>
    <xf numFmtId="0" fontId="4" fillId="3" borderId="30" xfId="0" applyFont="1" applyFill="1" applyBorder="1" applyAlignment="1">
      <alignment horizontal="center"/>
    </xf>
    <xf numFmtId="9" fontId="2" fillId="0" borderId="39" xfId="3" applyFont="1" applyBorder="1"/>
    <xf numFmtId="9" fontId="2" fillId="0" borderId="39" xfId="0" applyNumberFormat="1" applyFont="1" applyBorder="1"/>
    <xf numFmtId="9" fontId="2" fillId="0" borderId="40" xfId="3" applyFont="1" applyBorder="1"/>
    <xf numFmtId="43" fontId="2" fillId="0" borderId="0" xfId="0" applyNumberFormat="1" applyFont="1"/>
    <xf numFmtId="10" fontId="8" fillId="0" borderId="3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6">
    <cellStyle name="bondFinValueStyle" xfId="4" xr:uid="{FCC46D77-AAD9-42F0-BB48-E2DA3C8E021C}"/>
    <cellStyle name="Comma" xfId="1" builtinId="3"/>
    <cellStyle name="Currency" xfId="2" builtinId="4"/>
    <cellStyle name="finValueStyle" xfId="5" xr:uid="{027F0A2D-F34B-43DC-861B-F0160A629E74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CD15-1C20-4D50-BCD4-B592041C338B}">
  <dimension ref="B2"/>
  <sheetViews>
    <sheetView showGridLines="0" workbookViewId="0">
      <selection activeCell="B3" sqref="B3"/>
    </sheetView>
  </sheetViews>
  <sheetFormatPr baseColWidth="10" defaultColWidth="8.83203125" defaultRowHeight="15" x14ac:dyDescent="0.2"/>
  <sheetData>
    <row r="2" spans="2:2" x14ac:dyDescent="0.2">
      <c r="B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6D7B-A734-4D53-BD64-89D69D00F561}">
  <dimension ref="A1"/>
  <sheetViews>
    <sheetView showGridLines="0" workbookViewId="0">
      <selection activeCell="B1" sqref="B1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76C-33B6-4CFA-B9EB-7374DF67A124}">
  <dimension ref="B1:S66"/>
  <sheetViews>
    <sheetView showGridLines="0" topLeftCell="B1" zoomScale="125" workbookViewId="0">
      <selection activeCell="N6" sqref="N6"/>
    </sheetView>
  </sheetViews>
  <sheetFormatPr baseColWidth="10" defaultColWidth="8.83203125" defaultRowHeight="16" x14ac:dyDescent="0.2"/>
  <cols>
    <col min="1" max="1" width="8.83203125" style="1"/>
    <col min="2" max="2" width="9.83203125" style="1" bestFit="1" customWidth="1"/>
    <col min="3" max="3" width="10" style="1" customWidth="1"/>
    <col min="4" max="4" width="11.5" style="1" bestFit="1" customWidth="1"/>
    <col min="5" max="5" width="12.6640625" style="1" customWidth="1"/>
    <col min="6" max="6" width="11.5" style="1" customWidth="1"/>
    <col min="7" max="7" width="8.83203125" style="1"/>
    <col min="8" max="8" width="23.5" style="1" customWidth="1"/>
    <col min="9" max="9" width="14" style="1" bestFit="1" customWidth="1"/>
    <col min="10" max="10" width="11.83203125" style="1" bestFit="1" customWidth="1"/>
    <col min="11" max="11" width="27" style="1" bestFit="1" customWidth="1"/>
    <col min="12" max="12" width="18.33203125" style="1" bestFit="1" customWidth="1"/>
    <col min="13" max="13" width="12.6640625" style="1" bestFit="1" customWidth="1"/>
    <col min="14" max="16384" width="8.83203125" style="1"/>
  </cols>
  <sheetData>
    <row r="1" spans="2:19" ht="17" thickBot="1" x14ac:dyDescent="0.25"/>
    <row r="2" spans="2:19" ht="17" thickBot="1" x14ac:dyDescent="0.25">
      <c r="B2" s="8" t="s">
        <v>1</v>
      </c>
      <c r="C2" s="11" t="s">
        <v>2</v>
      </c>
      <c r="D2" s="14" t="s">
        <v>3</v>
      </c>
      <c r="E2" s="14" t="s">
        <v>4</v>
      </c>
      <c r="F2" s="7" t="s">
        <v>5</v>
      </c>
      <c r="H2" s="18"/>
      <c r="I2" s="19" t="str">
        <f>C2</f>
        <v>M8G</v>
      </c>
      <c r="J2" s="20" t="str">
        <f>E2</f>
        <v>SPY</v>
      </c>
      <c r="L2" s="39" t="s">
        <v>6</v>
      </c>
      <c r="M2" s="38">
        <v>1.08</v>
      </c>
      <c r="N2" s="1" t="s">
        <v>90</v>
      </c>
    </row>
    <row r="3" spans="2:19" ht="17" thickBot="1" x14ac:dyDescent="0.25">
      <c r="B3" s="9">
        <v>43525</v>
      </c>
      <c r="C3" s="12">
        <v>0.99</v>
      </c>
      <c r="D3" s="15"/>
      <c r="E3" s="12">
        <v>260.32403599999998</v>
      </c>
      <c r="F3" s="4"/>
      <c r="H3" s="21" t="s">
        <v>7</v>
      </c>
      <c r="I3" s="16">
        <f>_xlfn.STDEV.S(D4:D62)*SQRT(12)</f>
        <v>0.53833972681298659</v>
      </c>
      <c r="J3" s="5">
        <f>_xlfn.STDEV.S(F4:F62)*SQRT(12)</f>
        <v>0.18803261575472138</v>
      </c>
    </row>
    <row r="4" spans="2:19" ht="17" thickBot="1" x14ac:dyDescent="0.25">
      <c r="B4" s="9">
        <v>43556</v>
      </c>
      <c r="C4" s="12">
        <v>1.2350000000000001</v>
      </c>
      <c r="D4" s="16">
        <f>C4/C3-1</f>
        <v>0.24747474747474763</v>
      </c>
      <c r="E4" s="12">
        <v>272.15237400000001</v>
      </c>
      <c r="F4" s="5">
        <f>E4/E3-1</f>
        <v>4.5436979933731525E-2</v>
      </c>
      <c r="H4" s="21" t="s">
        <v>8</v>
      </c>
      <c r="I4" s="22">
        <f>(C62/C3)^(1/5)-1</f>
        <v>-7.5890644165935717E-3</v>
      </c>
      <c r="J4" s="5">
        <f>(E62/E3)^(1/5)-1</f>
        <v>0.14299475793765004</v>
      </c>
      <c r="L4" s="44" t="s">
        <v>9</v>
      </c>
    </row>
    <row r="5" spans="2:19" ht="17" thickBot="1" x14ac:dyDescent="0.25">
      <c r="B5" s="9">
        <v>43586</v>
      </c>
      <c r="C5" s="12">
        <v>1.2749999999999999</v>
      </c>
      <c r="D5" s="16">
        <f t="shared" ref="D5:F62" si="0">C5/C4-1</f>
        <v>3.2388663967611198E-2</v>
      </c>
      <c r="E5" s="12">
        <v>254.79690600000001</v>
      </c>
      <c r="F5" s="5">
        <f t="shared" si="0"/>
        <v>-6.3771143146449272E-2</v>
      </c>
      <c r="H5" s="25" t="s">
        <v>10</v>
      </c>
      <c r="I5" s="13">
        <f>SLOPE(D4:D62,F4:F62)</f>
        <v>0.67201881989782331</v>
      </c>
      <c r="J5" s="24">
        <f>SLOPE(F3:F62,F3:F62)</f>
        <v>1</v>
      </c>
    </row>
    <row r="6" spans="2:19" ht="17" thickBot="1" x14ac:dyDescent="0.25">
      <c r="B6" s="9">
        <v>43617</v>
      </c>
      <c r="C6" s="12">
        <v>1.33</v>
      </c>
      <c r="D6" s="16">
        <f t="shared" si="0"/>
        <v>4.3137254901960853E-2</v>
      </c>
      <c r="E6" s="12">
        <v>271.20822099999998</v>
      </c>
      <c r="F6" s="5">
        <f t="shared" si="0"/>
        <v>6.4409396713788869E-2</v>
      </c>
      <c r="I6" s="2"/>
      <c r="K6" s="3"/>
    </row>
    <row r="7" spans="2:19" ht="17" thickBot="1" x14ac:dyDescent="0.25">
      <c r="B7" s="9">
        <v>43647</v>
      </c>
      <c r="C7" s="12">
        <v>1.3149999999999999</v>
      </c>
      <c r="D7" s="16">
        <f t="shared" si="0"/>
        <v>-1.1278195488721887E-2</v>
      </c>
      <c r="E7" s="12">
        <v>276.64779700000003</v>
      </c>
      <c r="F7" s="5">
        <f t="shared" si="0"/>
        <v>2.00568256373026E-2</v>
      </c>
      <c r="H7" s="136" t="s">
        <v>11</v>
      </c>
      <c r="I7" s="137"/>
      <c r="J7" s="3"/>
    </row>
    <row r="8" spans="2:19" x14ac:dyDescent="0.2">
      <c r="B8" s="9">
        <v>43678</v>
      </c>
      <c r="C8" s="12">
        <v>1.175</v>
      </c>
      <c r="D8" s="16">
        <f t="shared" si="0"/>
        <v>-0.10646387832699611</v>
      </c>
      <c r="E8" s="12">
        <v>272.01583900000003</v>
      </c>
      <c r="F8" s="5">
        <f t="shared" si="0"/>
        <v>-1.6743158811418302E-2</v>
      </c>
      <c r="H8" s="28" t="str">
        <f>H5</f>
        <v>Beta</v>
      </c>
      <c r="I8" s="26">
        <f>Beta</f>
        <v>0.67201881989782331</v>
      </c>
      <c r="J8" s="3"/>
    </row>
    <row r="9" spans="2:19" x14ac:dyDescent="0.2">
      <c r="B9" s="9">
        <v>43709</v>
      </c>
      <c r="C9" s="12">
        <v>1.07</v>
      </c>
      <c r="D9" s="16">
        <f t="shared" si="0"/>
        <v>-8.9361702127659592E-2</v>
      </c>
      <c r="E9" s="12">
        <v>276.033997</v>
      </c>
      <c r="F9" s="5">
        <f t="shared" si="0"/>
        <v>1.4771779521265183E-2</v>
      </c>
      <c r="H9" s="21" t="s">
        <v>12</v>
      </c>
      <c r="I9" s="27">
        <f>J4</f>
        <v>0.14299475793765004</v>
      </c>
      <c r="J9" s="3"/>
    </row>
    <row r="10" spans="2:19" ht="17" thickBot="1" x14ac:dyDescent="0.25">
      <c r="B10" s="9">
        <v>43739</v>
      </c>
      <c r="C10" s="12">
        <v>1.23</v>
      </c>
      <c r="D10" s="16">
        <f t="shared" si="0"/>
        <v>0.14953271028037385</v>
      </c>
      <c r="E10" s="12">
        <v>283.43841600000002</v>
      </c>
      <c r="F10" s="5">
        <f t="shared" si="0"/>
        <v>2.6824300921165278E-2</v>
      </c>
      <c r="H10" s="21" t="s">
        <v>13</v>
      </c>
      <c r="I10" s="43">
        <v>4.2799999999999998E-2</v>
      </c>
      <c r="J10" s="3"/>
    </row>
    <row r="11" spans="2:19" ht="17" thickBot="1" x14ac:dyDescent="0.25">
      <c r="B11" s="9">
        <v>43770</v>
      </c>
      <c r="C11" s="12">
        <v>1.2450000000000001</v>
      </c>
      <c r="D11" s="16">
        <f t="shared" si="0"/>
        <v>1.2195121951219523E-2</v>
      </c>
      <c r="E11" s="12">
        <v>293.69845600000002</v>
      </c>
      <c r="F11" s="5">
        <f t="shared" si="0"/>
        <v>3.6198480589871851E-2</v>
      </c>
      <c r="H11" s="29" t="s">
        <v>14</v>
      </c>
      <c r="I11" s="30">
        <f>Rf+Beta*(Rm-Rf)</f>
        <v>0.11013276298920763</v>
      </c>
      <c r="J11" s="3"/>
    </row>
    <row r="12" spans="2:19" x14ac:dyDescent="0.2">
      <c r="B12" s="9">
        <v>43800</v>
      </c>
      <c r="C12" s="12">
        <v>1.155</v>
      </c>
      <c r="D12" s="16">
        <f t="shared" si="0"/>
        <v>-7.2289156626506035E-2</v>
      </c>
      <c r="E12" s="12">
        <v>300.75335699999999</v>
      </c>
      <c r="F12" s="5">
        <f t="shared" si="0"/>
        <v>2.40208991769435E-2</v>
      </c>
      <c r="I12" s="2"/>
      <c r="J12" s="3"/>
    </row>
    <row r="13" spans="2:19" ht="17" thickBot="1" x14ac:dyDescent="0.25">
      <c r="B13" s="9">
        <v>43831</v>
      </c>
      <c r="C13" s="12">
        <v>1.085</v>
      </c>
      <c r="D13" s="16">
        <f t="shared" si="0"/>
        <v>-6.0606060606060663E-2</v>
      </c>
      <c r="E13" s="12">
        <v>302.10998499999999</v>
      </c>
      <c r="F13" s="5">
        <f t="shared" si="0"/>
        <v>4.510765943004813E-3</v>
      </c>
      <c r="I13" s="2"/>
      <c r="K13" s="3"/>
    </row>
    <row r="14" spans="2:19" ht="17" thickBot="1" x14ac:dyDescent="0.25">
      <c r="B14" s="9">
        <v>43862</v>
      </c>
      <c r="C14" s="12">
        <v>1.04</v>
      </c>
      <c r="D14" s="16">
        <f t="shared" si="0"/>
        <v>-4.1474654377880116E-2</v>
      </c>
      <c r="E14" s="12">
        <v>278.19311499999998</v>
      </c>
      <c r="F14" s="5">
        <f t="shared" si="0"/>
        <v>-7.9166102371624802E-2</v>
      </c>
      <c r="H14" s="136" t="s">
        <v>15</v>
      </c>
      <c r="I14" s="137"/>
      <c r="K14" s="136" t="s">
        <v>16</v>
      </c>
      <c r="L14" s="137"/>
      <c r="M14" s="132"/>
    </row>
    <row r="15" spans="2:19" x14ac:dyDescent="0.2">
      <c r="B15" s="9">
        <v>43891</v>
      </c>
      <c r="C15" s="12">
        <v>1.135</v>
      </c>
      <c r="D15" s="16">
        <f t="shared" si="0"/>
        <v>9.1346153846153744E-2</v>
      </c>
      <c r="E15" s="12">
        <v>242.031631</v>
      </c>
      <c r="F15" s="5">
        <f t="shared" si="0"/>
        <v>-0.12998698404164311</v>
      </c>
      <c r="H15" s="21" t="s">
        <v>17</v>
      </c>
      <c r="I15" s="33">
        <f>L17*L18</f>
        <v>163389.47400000002</v>
      </c>
      <c r="J15" s="3"/>
      <c r="K15" s="46" t="s">
        <v>18</v>
      </c>
      <c r="L15" s="111">
        <f>35338</f>
        <v>35338</v>
      </c>
      <c r="O15" s="36"/>
      <c r="P15" s="36"/>
      <c r="Q15" s="36"/>
      <c r="R15" s="36"/>
      <c r="S15" s="36"/>
    </row>
    <row r="16" spans="2:19" x14ac:dyDescent="0.2">
      <c r="B16" s="9">
        <v>43922</v>
      </c>
      <c r="C16" s="12">
        <v>1.18</v>
      </c>
      <c r="D16" s="16">
        <f t="shared" si="0"/>
        <v>3.9647577092510877E-2</v>
      </c>
      <c r="E16" s="12">
        <v>274.369598</v>
      </c>
      <c r="F16" s="5">
        <f t="shared" si="0"/>
        <v>0.13361049903431832</v>
      </c>
      <c r="H16" s="21" t="s">
        <v>19</v>
      </c>
      <c r="I16" s="33">
        <f>L15+L16</f>
        <v>455700</v>
      </c>
      <c r="K16" s="45" t="s">
        <v>20</v>
      </c>
      <c r="L16" s="109">
        <f>420362</f>
        <v>420362</v>
      </c>
    </row>
    <row r="17" spans="2:18" x14ac:dyDescent="0.2">
      <c r="B17" s="9">
        <v>43952</v>
      </c>
      <c r="C17" s="12">
        <v>1.2549999999999999</v>
      </c>
      <c r="D17" s="16">
        <f t="shared" si="0"/>
        <v>6.3559322033898358E-2</v>
      </c>
      <c r="E17" s="12">
        <v>287.44201700000002</v>
      </c>
      <c r="F17" s="5">
        <f t="shared" si="0"/>
        <v>4.7645289767126453E-2</v>
      </c>
      <c r="H17" s="21" t="s">
        <v>21</v>
      </c>
      <c r="I17" s="27">
        <f>I11</f>
        <v>0.11013276298920763</v>
      </c>
      <c r="K17" s="45" t="s">
        <v>22</v>
      </c>
      <c r="L17" s="109">
        <v>159249</v>
      </c>
    </row>
    <row r="18" spans="2:18" x14ac:dyDescent="0.2">
      <c r="B18" s="9">
        <v>43983</v>
      </c>
      <c r="C18" s="12">
        <v>1.3149999999999999</v>
      </c>
      <c r="D18" s="16">
        <f t="shared" si="0"/>
        <v>4.7808764940239001E-2</v>
      </c>
      <c r="E18" s="12">
        <v>291.25793499999997</v>
      </c>
      <c r="F18" s="5">
        <f t="shared" si="0"/>
        <v>1.3275435650731415E-2</v>
      </c>
      <c r="H18" s="21" t="s">
        <v>23</v>
      </c>
      <c r="I18" s="23">
        <f>L19/I16</f>
        <v>7.1182356813693226E-2</v>
      </c>
      <c r="K18" s="45" t="s">
        <v>24</v>
      </c>
      <c r="L18" s="108">
        <f>0.95*M2</f>
        <v>1.026</v>
      </c>
      <c r="M18" s="1" t="str">
        <f>N2</f>
        <v>As of Feb 23rd</v>
      </c>
    </row>
    <row r="19" spans="2:18" ht="17" thickBot="1" x14ac:dyDescent="0.25">
      <c r="B19" s="9">
        <v>44013</v>
      </c>
      <c r="C19" s="12">
        <v>1.24</v>
      </c>
      <c r="D19" s="16">
        <f t="shared" si="0"/>
        <v>-5.7034220532319324E-2</v>
      </c>
      <c r="E19" s="12">
        <v>309.76791400000002</v>
      </c>
      <c r="F19" s="5">
        <f t="shared" si="0"/>
        <v>6.3551844518845657E-2</v>
      </c>
      <c r="H19" s="21" t="s">
        <v>25</v>
      </c>
      <c r="I19" s="27">
        <f>AVERAGE(L30:L33)</f>
        <v>0.18271920479860521</v>
      </c>
      <c r="K19" s="46" t="s">
        <v>26</v>
      </c>
      <c r="L19" s="34">
        <f>30035*M2</f>
        <v>32437.800000000003</v>
      </c>
    </row>
    <row r="20" spans="2:18" ht="17" thickBot="1" x14ac:dyDescent="0.25">
      <c r="B20" s="9">
        <v>44044</v>
      </c>
      <c r="C20" s="12">
        <v>1.325</v>
      </c>
      <c r="D20" s="16">
        <f t="shared" si="0"/>
        <v>6.8548387096774244E-2</v>
      </c>
      <c r="E20" s="12">
        <v>331.38870200000002</v>
      </c>
      <c r="F20" s="5">
        <f t="shared" si="0"/>
        <v>6.9796731755762176E-2</v>
      </c>
      <c r="H20" s="29" t="s">
        <v>27</v>
      </c>
      <c r="I20" s="31">
        <f>I17*I15/(I15+I16)+I18*(1-I19)*I16/(I15+I16)</f>
        <v>7.1888357115819909E-2</v>
      </c>
      <c r="K20" s="138" t="s">
        <v>28</v>
      </c>
      <c r="L20" s="41">
        <v>-11923.962554588063</v>
      </c>
      <c r="N20" s="36"/>
      <c r="O20" s="36"/>
      <c r="P20" s="36"/>
      <c r="Q20" s="36"/>
      <c r="R20" s="36"/>
    </row>
    <row r="21" spans="2:18" x14ac:dyDescent="0.2">
      <c r="B21" s="9">
        <v>44075</v>
      </c>
      <c r="C21" s="12">
        <v>1.3049999999999999</v>
      </c>
      <c r="D21" s="16">
        <f t="shared" si="0"/>
        <v>-1.5094339622641506E-2</v>
      </c>
      <c r="E21" s="12">
        <v>317.708527</v>
      </c>
      <c r="F21" s="5">
        <f t="shared" si="0"/>
        <v>-4.1281356055403506E-2</v>
      </c>
      <c r="I21" s="2"/>
      <c r="K21" s="134"/>
      <c r="L21" s="42">
        <v>17599.697395249448</v>
      </c>
    </row>
    <row r="22" spans="2:18" x14ac:dyDescent="0.2">
      <c r="B22" s="9">
        <v>44105</v>
      </c>
      <c r="C22" s="12">
        <v>1.385</v>
      </c>
      <c r="D22" s="16">
        <f t="shared" si="0"/>
        <v>6.1302681992337238E-2</v>
      </c>
      <c r="E22" s="12">
        <v>311.02697799999999</v>
      </c>
      <c r="F22" s="5">
        <f t="shared" si="0"/>
        <v>-2.1030436491872972E-2</v>
      </c>
      <c r="I22" s="2"/>
      <c r="K22" s="134"/>
      <c r="L22" s="42">
        <v>4446.8002581291903</v>
      </c>
    </row>
    <row r="23" spans="2:18" x14ac:dyDescent="0.2">
      <c r="B23" s="9">
        <v>44136</v>
      </c>
      <c r="C23" s="12">
        <v>1.48</v>
      </c>
      <c r="D23" s="16">
        <f t="shared" si="0"/>
        <v>6.8592057761732939E-2</v>
      </c>
      <c r="E23" s="12">
        <v>344.85949699999998</v>
      </c>
      <c r="F23" s="5">
        <f t="shared" si="0"/>
        <v>0.10877679877659996</v>
      </c>
      <c r="I23" s="2"/>
      <c r="K23" s="134"/>
      <c r="L23" s="41">
        <v>-849.61101642108633</v>
      </c>
    </row>
    <row r="24" spans="2:18" x14ac:dyDescent="0.2">
      <c r="B24" s="9">
        <v>44166</v>
      </c>
      <c r="C24" s="12">
        <v>2.0299999999999998</v>
      </c>
      <c r="D24" s="16">
        <f t="shared" si="0"/>
        <v>0.37162162162162149</v>
      </c>
      <c r="E24" s="12">
        <v>356.11801100000002</v>
      </c>
      <c r="F24" s="5">
        <f t="shared" si="0"/>
        <v>3.2646669434770015E-2</v>
      </c>
      <c r="K24" s="139"/>
      <c r="L24" s="42">
        <v>810.70556082618452</v>
      </c>
      <c r="O24" s="37"/>
    </row>
    <row r="25" spans="2:18" x14ac:dyDescent="0.2">
      <c r="B25" s="9">
        <v>44197</v>
      </c>
      <c r="C25" s="12">
        <v>3.45</v>
      </c>
      <c r="D25" s="16">
        <f t="shared" si="0"/>
        <v>0.69950738916256183</v>
      </c>
      <c r="E25" s="12">
        <v>353.99157700000001</v>
      </c>
      <c r="F25" s="5">
        <f t="shared" si="0"/>
        <v>-5.9711498276340258E-3</v>
      </c>
      <c r="I25" s="2"/>
      <c r="K25" s="138" t="s">
        <v>29</v>
      </c>
      <c r="L25" s="32">
        <v>9530</v>
      </c>
    </row>
    <row r="26" spans="2:18" x14ac:dyDescent="0.2">
      <c r="B26" s="9">
        <v>44228</v>
      </c>
      <c r="C26" s="12">
        <v>3.88</v>
      </c>
      <c r="D26" s="16">
        <f t="shared" si="0"/>
        <v>0.12463768115942031</v>
      </c>
      <c r="E26" s="12">
        <v>363.83444200000002</v>
      </c>
      <c r="F26" s="5">
        <f t="shared" si="0"/>
        <v>2.7805364984715419E-2</v>
      </c>
      <c r="I26" s="2"/>
      <c r="K26" s="134"/>
      <c r="L26" s="40">
        <v>-1382</v>
      </c>
    </row>
    <row r="27" spans="2:18" x14ac:dyDescent="0.2">
      <c r="B27" s="9">
        <v>44256</v>
      </c>
      <c r="C27" s="12">
        <v>3.96</v>
      </c>
      <c r="D27" s="16">
        <f t="shared" si="0"/>
        <v>2.0618556701030855E-2</v>
      </c>
      <c r="E27" s="12">
        <v>379.11059599999999</v>
      </c>
      <c r="F27" s="5">
        <f t="shared" si="0"/>
        <v>4.1986552773912278E-2</v>
      </c>
      <c r="I27" s="2"/>
      <c r="K27" s="134"/>
      <c r="L27" s="33">
        <v>1361</v>
      </c>
    </row>
    <row r="28" spans="2:18" x14ac:dyDescent="0.2">
      <c r="B28" s="9">
        <v>44287</v>
      </c>
      <c r="C28" s="12">
        <v>4.6180000000000003</v>
      </c>
      <c r="D28" s="16">
        <f t="shared" si="0"/>
        <v>0.16616161616161618</v>
      </c>
      <c r="E28" s="12">
        <v>400.47689800000001</v>
      </c>
      <c r="F28" s="5">
        <f t="shared" si="0"/>
        <v>5.6359020891096456E-2</v>
      </c>
      <c r="I28" s="2"/>
      <c r="K28" s="134"/>
      <c r="L28" s="40">
        <v>-2252</v>
      </c>
    </row>
    <row r="29" spans="2:18" x14ac:dyDescent="0.2">
      <c r="B29" s="9">
        <v>44317</v>
      </c>
      <c r="C29" s="12">
        <v>4.3220000000000001</v>
      </c>
      <c r="D29" s="16">
        <f t="shared" si="0"/>
        <v>-6.4097011693373784E-2</v>
      </c>
      <c r="E29" s="12">
        <v>403.10647599999999</v>
      </c>
      <c r="F29" s="5">
        <f t="shared" si="0"/>
        <v>6.5661165803376775E-3</v>
      </c>
      <c r="I29" s="2"/>
      <c r="K29" s="139"/>
      <c r="L29" s="34">
        <v>1056</v>
      </c>
    </row>
    <row r="30" spans="2:18" x14ac:dyDescent="0.2">
      <c r="B30" s="9">
        <v>44348</v>
      </c>
      <c r="C30" s="12">
        <v>4.9180000000000001</v>
      </c>
      <c r="D30" s="16">
        <f t="shared" si="0"/>
        <v>0.13789912077741784</v>
      </c>
      <c r="E30" s="12">
        <v>410.80313100000001</v>
      </c>
      <c r="F30" s="5">
        <f t="shared" si="0"/>
        <v>1.9093354878277902E-2</v>
      </c>
      <c r="I30" s="2"/>
      <c r="K30" s="134" t="s">
        <v>30</v>
      </c>
      <c r="L30" s="23">
        <f>L25/L20</f>
        <v>-0.7992309566867164</v>
      </c>
    </row>
    <row r="31" spans="2:18" x14ac:dyDescent="0.2">
      <c r="B31" s="9">
        <v>44378</v>
      </c>
      <c r="C31" s="12">
        <v>5.62</v>
      </c>
      <c r="D31" s="16">
        <f t="shared" si="0"/>
        <v>0.14274095160634404</v>
      </c>
      <c r="E31" s="12">
        <v>422.20858800000002</v>
      </c>
      <c r="F31" s="5">
        <f t="shared" si="0"/>
        <v>2.7763802511037827E-2</v>
      </c>
      <c r="I31" s="2"/>
      <c r="K31" s="134"/>
      <c r="L31" s="23">
        <f>L26/L21</f>
        <v>-7.8524077372661691E-2</v>
      </c>
    </row>
    <row r="32" spans="2:18" x14ac:dyDescent="0.2">
      <c r="B32" s="9">
        <v>44409</v>
      </c>
      <c r="C32" s="12">
        <v>5.49</v>
      </c>
      <c r="D32" s="16">
        <f t="shared" si="0"/>
        <v>-2.313167259786475E-2</v>
      </c>
      <c r="E32" s="12">
        <v>434.773438</v>
      </c>
      <c r="F32" s="5">
        <f t="shared" si="0"/>
        <v>2.9759816254613991E-2</v>
      </c>
      <c r="I32" s="2"/>
      <c r="K32" s="134"/>
      <c r="L32" s="23">
        <f>L27/L22</f>
        <v>0.30606276895661266</v>
      </c>
    </row>
    <row r="33" spans="2:12" ht="17" thickBot="1" x14ac:dyDescent="0.25">
      <c r="B33" s="9">
        <v>44440</v>
      </c>
      <c r="C33" s="12">
        <v>5.0250000000000004</v>
      </c>
      <c r="D33" s="16">
        <f t="shared" si="0"/>
        <v>-8.4699453551912551E-2</v>
      </c>
      <c r="E33" s="12">
        <v>413.18695100000002</v>
      </c>
      <c r="F33" s="5">
        <f t="shared" si="0"/>
        <v>-4.9649967346901192E-2</v>
      </c>
      <c r="I33" s="2"/>
      <c r="K33" s="135"/>
      <c r="L33" s="35">
        <f>L29/L24</f>
        <v>1.3025690842971862</v>
      </c>
    </row>
    <row r="34" spans="2:12" x14ac:dyDescent="0.2">
      <c r="B34" s="9">
        <v>44470</v>
      </c>
      <c r="C34" s="12">
        <v>5.0199999999999996</v>
      </c>
      <c r="D34" s="16">
        <f t="shared" si="0"/>
        <v>-9.9502487562208586E-4</v>
      </c>
      <c r="E34" s="12">
        <v>443.59423800000002</v>
      </c>
      <c r="F34" s="5">
        <f t="shared" si="0"/>
        <v>7.3592079629833274E-2</v>
      </c>
      <c r="I34" s="2"/>
      <c r="K34" s="3"/>
    </row>
    <row r="35" spans="2:12" x14ac:dyDescent="0.2">
      <c r="B35" s="9">
        <v>44501</v>
      </c>
      <c r="C35" s="12">
        <v>5.0549999999999997</v>
      </c>
      <c r="D35" s="16">
        <f t="shared" si="0"/>
        <v>6.9721115537848544E-3</v>
      </c>
      <c r="E35" s="12">
        <v>440.03002900000001</v>
      </c>
      <c r="F35" s="5">
        <f t="shared" si="0"/>
        <v>-8.0348406148593732E-3</v>
      </c>
      <c r="I35" s="2"/>
      <c r="K35" s="3"/>
    </row>
    <row r="36" spans="2:12" x14ac:dyDescent="0.2">
      <c r="B36" s="9">
        <v>44531</v>
      </c>
      <c r="C36" s="12">
        <v>4.3339999999999996</v>
      </c>
      <c r="D36" s="16">
        <f t="shared" si="0"/>
        <v>-0.14263105835806134</v>
      </c>
      <c r="E36" s="12">
        <v>458.76864599999999</v>
      </c>
      <c r="F36" s="5">
        <f t="shared" si="0"/>
        <v>4.2584859589207769E-2</v>
      </c>
      <c r="I36" s="2"/>
      <c r="K36" s="3"/>
    </row>
    <row r="37" spans="2:12" x14ac:dyDescent="0.2">
      <c r="B37" s="9">
        <v>44562</v>
      </c>
      <c r="C37" s="12">
        <v>3.6219999999999999</v>
      </c>
      <c r="D37" s="16">
        <f t="shared" si="0"/>
        <v>-0.1642824180895246</v>
      </c>
      <c r="E37" s="12">
        <v>436.09936499999998</v>
      </c>
      <c r="F37" s="5">
        <f t="shared" si="0"/>
        <v>-4.9413318014762564E-2</v>
      </c>
      <c r="I37" s="2"/>
      <c r="K37" s="3"/>
    </row>
    <row r="38" spans="2:12" x14ac:dyDescent="0.2">
      <c r="B38" s="9">
        <v>44593</v>
      </c>
      <c r="C38" s="12">
        <v>3.976</v>
      </c>
      <c r="D38" s="16">
        <f t="shared" si="0"/>
        <v>9.7736057426835998E-2</v>
      </c>
      <c r="E38" s="12">
        <v>423.22705100000002</v>
      </c>
      <c r="F38" s="5">
        <f t="shared" si="0"/>
        <v>-2.95169290145606E-2</v>
      </c>
      <c r="I38" s="2"/>
      <c r="K38" s="3"/>
    </row>
    <row r="39" spans="2:12" x14ac:dyDescent="0.2">
      <c r="B39" s="9">
        <v>44621</v>
      </c>
      <c r="C39" s="12">
        <v>3.4159999999999999</v>
      </c>
      <c r="D39" s="16">
        <f t="shared" si="0"/>
        <v>-0.14084507042253525</v>
      </c>
      <c r="E39" s="12">
        <v>437.776276</v>
      </c>
      <c r="F39" s="5">
        <f t="shared" si="0"/>
        <v>3.4376878712320202E-2</v>
      </c>
      <c r="I39" s="2"/>
      <c r="K39" s="3"/>
    </row>
    <row r="40" spans="2:12" x14ac:dyDescent="0.2">
      <c r="B40" s="9">
        <v>44652</v>
      </c>
      <c r="C40" s="12">
        <v>3.0979999999999999</v>
      </c>
      <c r="D40" s="16">
        <f t="shared" si="0"/>
        <v>-9.3091334894613631E-2</v>
      </c>
      <c r="E40" s="12">
        <v>400.59368899999998</v>
      </c>
      <c r="F40" s="5">
        <f t="shared" si="0"/>
        <v>-8.4935134767330389E-2</v>
      </c>
      <c r="I40" s="2"/>
      <c r="K40" s="3"/>
    </row>
    <row r="41" spans="2:12" x14ac:dyDescent="0.2">
      <c r="B41" s="9">
        <v>44682</v>
      </c>
      <c r="C41" s="12">
        <v>3.1869999999999998</v>
      </c>
      <c r="D41" s="16">
        <f t="shared" si="0"/>
        <v>2.8728211749515786E-2</v>
      </c>
      <c r="E41" s="12">
        <v>401.49795499999999</v>
      </c>
      <c r="F41" s="5">
        <f t="shared" si="0"/>
        <v>2.2573146428175317E-3</v>
      </c>
      <c r="I41" s="2"/>
      <c r="K41" s="3"/>
    </row>
    <row r="42" spans="2:12" x14ac:dyDescent="0.2">
      <c r="B42" s="9">
        <v>44713</v>
      </c>
      <c r="C42" s="12">
        <v>2.2410000000000001</v>
      </c>
      <c r="D42" s="16">
        <f t="shared" si="0"/>
        <v>-0.29683087543144016</v>
      </c>
      <c r="E42" s="12">
        <v>366.80578600000001</v>
      </c>
      <c r="F42" s="5">
        <f t="shared" si="0"/>
        <v>-8.6406838610174175E-2</v>
      </c>
      <c r="I42" s="2"/>
      <c r="K42" s="3"/>
    </row>
    <row r="43" spans="2:12" x14ac:dyDescent="0.2">
      <c r="B43" s="9">
        <v>44743</v>
      </c>
      <c r="C43" s="12">
        <v>2.3780000000000001</v>
      </c>
      <c r="D43" s="16">
        <f t="shared" si="0"/>
        <v>6.1133422579205732E-2</v>
      </c>
      <c r="E43" s="12">
        <v>402.314392</v>
      </c>
      <c r="F43" s="5">
        <f t="shared" si="0"/>
        <v>9.6804923355271022E-2</v>
      </c>
      <c r="I43" s="2"/>
      <c r="K43" s="3"/>
    </row>
    <row r="44" spans="2:12" x14ac:dyDescent="0.2">
      <c r="B44" s="9">
        <v>44774</v>
      </c>
      <c r="C44" s="12">
        <v>2.1080000000000001</v>
      </c>
      <c r="D44" s="16">
        <f t="shared" si="0"/>
        <v>-0.11354079058031963</v>
      </c>
      <c r="E44" s="12">
        <v>385.89920000000001</v>
      </c>
      <c r="F44" s="5">
        <f t="shared" si="0"/>
        <v>-4.0801901016755071E-2</v>
      </c>
      <c r="I44" s="2"/>
      <c r="K44" s="3"/>
    </row>
    <row r="45" spans="2:12" x14ac:dyDescent="0.2">
      <c r="B45" s="9">
        <v>44805</v>
      </c>
      <c r="C45" s="12">
        <v>1.5745</v>
      </c>
      <c r="D45" s="16">
        <f t="shared" si="0"/>
        <v>-0.25308349146110065</v>
      </c>
      <c r="E45" s="12">
        <v>348.79159499999997</v>
      </c>
      <c r="F45" s="5">
        <f t="shared" si="0"/>
        <v>-9.615880260959353E-2</v>
      </c>
      <c r="I45" s="2"/>
      <c r="K45" s="3"/>
    </row>
    <row r="46" spans="2:12" x14ac:dyDescent="0.2">
      <c r="B46" s="9">
        <v>44835</v>
      </c>
      <c r="C46" s="12">
        <v>1.6120000000000001</v>
      </c>
      <c r="D46" s="16">
        <f t="shared" si="0"/>
        <v>2.3817084788821941E-2</v>
      </c>
      <c r="E46" s="12">
        <v>378.68905599999999</v>
      </c>
      <c r="F46" s="5">
        <f t="shared" si="0"/>
        <v>8.5717263341738459E-2</v>
      </c>
      <c r="I46" s="2"/>
      <c r="K46" s="3"/>
    </row>
    <row r="47" spans="2:12" x14ac:dyDescent="0.2">
      <c r="B47" s="9">
        <v>44866</v>
      </c>
      <c r="C47" s="12">
        <v>1.5925</v>
      </c>
      <c r="D47" s="16">
        <f t="shared" si="0"/>
        <v>-1.2096774193548376E-2</v>
      </c>
      <c r="E47" s="12">
        <v>399.74093599999998</v>
      </c>
      <c r="F47" s="5">
        <f t="shared" si="0"/>
        <v>5.5591466577793014E-2</v>
      </c>
      <c r="I47" s="2"/>
      <c r="K47" s="3"/>
    </row>
    <row r="48" spans="2:12" x14ac:dyDescent="0.2">
      <c r="B48" s="9">
        <v>44896</v>
      </c>
      <c r="C48" s="12">
        <v>1.7290000000000001</v>
      </c>
      <c r="D48" s="16">
        <f t="shared" si="0"/>
        <v>8.5714285714285854E-2</v>
      </c>
      <c r="E48" s="12">
        <v>374.98266599999999</v>
      </c>
      <c r="F48" s="5">
        <f t="shared" si="0"/>
        <v>-6.1935788332671549E-2</v>
      </c>
      <c r="I48" s="2"/>
      <c r="K48" s="3"/>
    </row>
    <row r="49" spans="2:11" x14ac:dyDescent="0.2">
      <c r="B49" s="9">
        <v>44927</v>
      </c>
      <c r="C49" s="12">
        <v>1.6</v>
      </c>
      <c r="D49" s="16">
        <f t="shared" si="0"/>
        <v>-7.4609600925390374E-2</v>
      </c>
      <c r="E49" s="12">
        <v>400.39456200000001</v>
      </c>
      <c r="F49" s="5">
        <f t="shared" si="0"/>
        <v>6.7768188516746042E-2</v>
      </c>
      <c r="I49" s="2"/>
      <c r="K49" s="3"/>
    </row>
    <row r="50" spans="2:11" x14ac:dyDescent="0.2">
      <c r="B50" s="9">
        <v>44958</v>
      </c>
      <c r="C50" s="12">
        <v>1.6</v>
      </c>
      <c r="D50" s="16">
        <f t="shared" si="0"/>
        <v>0</v>
      </c>
      <c r="E50" s="12">
        <v>390.32754499999999</v>
      </c>
      <c r="F50" s="5">
        <f t="shared" si="0"/>
        <v>-2.5142741573997762E-2</v>
      </c>
      <c r="I50" s="2"/>
      <c r="K50" s="3"/>
    </row>
    <row r="51" spans="2:11" x14ac:dyDescent="0.2">
      <c r="B51" s="9">
        <v>44986</v>
      </c>
      <c r="C51" s="12">
        <v>1.268</v>
      </c>
      <c r="D51" s="16">
        <f t="shared" si="0"/>
        <v>-0.20750000000000002</v>
      </c>
      <c r="E51" s="12">
        <v>403.26095600000002</v>
      </c>
      <c r="F51" s="5">
        <f t="shared" si="0"/>
        <v>3.3134763778969401E-2</v>
      </c>
      <c r="I51" s="2"/>
      <c r="K51" s="3"/>
    </row>
    <row r="52" spans="2:11" x14ac:dyDescent="0.2">
      <c r="B52" s="9">
        <v>45017</v>
      </c>
      <c r="C52" s="12">
        <v>1.24</v>
      </c>
      <c r="D52" s="16">
        <f t="shared" si="0"/>
        <v>-2.2082018927444769E-2</v>
      </c>
      <c r="E52" s="12">
        <v>411.26669299999998</v>
      </c>
      <c r="F52" s="5">
        <f t="shared" si="0"/>
        <v>1.9852497200348651E-2</v>
      </c>
      <c r="I52" s="2"/>
      <c r="K52" s="3"/>
    </row>
    <row r="53" spans="2:11" x14ac:dyDescent="0.2">
      <c r="B53" s="9">
        <v>45047</v>
      </c>
      <c r="C53" s="12">
        <v>1.1240000000000001</v>
      </c>
      <c r="D53" s="16">
        <f t="shared" si="0"/>
        <v>-9.3548387096774044E-2</v>
      </c>
      <c r="E53" s="12">
        <v>413.16519199999999</v>
      </c>
      <c r="F53" s="5">
        <f t="shared" si="0"/>
        <v>4.6162235656657113E-3</v>
      </c>
      <c r="I53" s="2"/>
      <c r="K53" s="3"/>
    </row>
    <row r="54" spans="2:11" x14ac:dyDescent="0.2">
      <c r="B54" s="9">
        <v>45078</v>
      </c>
      <c r="C54" s="12">
        <v>0.94799999999999995</v>
      </c>
      <c r="D54" s="16">
        <f t="shared" si="0"/>
        <v>-0.1565836298932386</v>
      </c>
      <c r="E54" s="12">
        <v>438.31005900000002</v>
      </c>
      <c r="F54" s="5">
        <f t="shared" si="0"/>
        <v>6.0859112739584331E-2</v>
      </c>
      <c r="I54" s="2"/>
      <c r="K54" s="3"/>
    </row>
    <row r="55" spans="2:11" x14ac:dyDescent="0.2">
      <c r="B55" s="9">
        <v>45108</v>
      </c>
      <c r="C55" s="12">
        <v>1.214</v>
      </c>
      <c r="D55" s="16">
        <f t="shared" si="0"/>
        <v>0.28059071729957807</v>
      </c>
      <c r="E55" s="12">
        <v>454.33883700000001</v>
      </c>
      <c r="F55" s="5">
        <f t="shared" si="0"/>
        <v>3.6569496115534061E-2</v>
      </c>
      <c r="I55" s="2"/>
      <c r="K55" s="3"/>
    </row>
    <row r="56" spans="2:11" x14ac:dyDescent="0.2">
      <c r="B56" s="9">
        <v>45139</v>
      </c>
      <c r="C56" s="12">
        <v>1.29</v>
      </c>
      <c r="D56" s="16">
        <f t="shared" si="0"/>
        <v>6.2602965403624422E-2</v>
      </c>
      <c r="E56" s="12">
        <v>446.95489500000002</v>
      </c>
      <c r="F56" s="5">
        <f t="shared" si="0"/>
        <v>-1.6252059913601458E-2</v>
      </c>
      <c r="I56" s="2"/>
      <c r="K56" s="3"/>
    </row>
    <row r="57" spans="2:11" x14ac:dyDescent="0.2">
      <c r="B57" s="9">
        <v>45170</v>
      </c>
      <c r="C57" s="12">
        <v>1.08</v>
      </c>
      <c r="D57" s="16">
        <f t="shared" si="0"/>
        <v>-0.16279069767441856</v>
      </c>
      <c r="E57" s="12">
        <v>424.25735500000002</v>
      </c>
      <c r="F57" s="5">
        <f t="shared" si="0"/>
        <v>-5.0782618680124347E-2</v>
      </c>
      <c r="I57" s="2"/>
      <c r="K57" s="3"/>
    </row>
    <row r="58" spans="2:11" x14ac:dyDescent="0.2">
      <c r="B58" s="9">
        <v>45200</v>
      </c>
      <c r="C58" s="12">
        <v>0.83899999999999997</v>
      </c>
      <c r="D58" s="16">
        <f t="shared" si="0"/>
        <v>-0.22314814814814821</v>
      </c>
      <c r="E58" s="12">
        <v>416.51129200000003</v>
      </c>
      <c r="F58" s="5">
        <f t="shared" si="0"/>
        <v>-1.825793450298574E-2</v>
      </c>
      <c r="I58" s="2"/>
      <c r="K58" s="3"/>
    </row>
    <row r="59" spans="2:11" x14ac:dyDescent="0.2">
      <c r="B59" s="9">
        <v>45231</v>
      </c>
      <c r="C59" s="12">
        <v>0.88500000000000001</v>
      </c>
      <c r="D59" s="16">
        <f t="shared" si="0"/>
        <v>5.4827175208581602E-2</v>
      </c>
      <c r="E59" s="12">
        <v>454.55703699999998</v>
      </c>
      <c r="F59" s="5">
        <f t="shared" si="0"/>
        <v>9.13438500486079E-2</v>
      </c>
      <c r="I59" s="2"/>
      <c r="K59" s="3"/>
    </row>
    <row r="60" spans="2:11" x14ac:dyDescent="0.2">
      <c r="B60" s="9">
        <v>45261</v>
      </c>
      <c r="C60" s="12">
        <v>1.018</v>
      </c>
      <c r="D60" s="16">
        <f t="shared" si="0"/>
        <v>0.15028248587570614</v>
      </c>
      <c r="E60" s="12">
        <v>473.39068600000002</v>
      </c>
      <c r="F60" s="5">
        <f t="shared" si="0"/>
        <v>4.1432972029866511E-2</v>
      </c>
      <c r="K60" s="3"/>
    </row>
    <row r="61" spans="2:11" x14ac:dyDescent="0.2">
      <c r="B61" s="9">
        <v>45292</v>
      </c>
      <c r="C61" s="12">
        <v>0.94699999999999995</v>
      </c>
      <c r="D61" s="16">
        <f t="shared" si="0"/>
        <v>-6.9744597249508877E-2</v>
      </c>
      <c r="E61" s="12">
        <v>482.88000499999998</v>
      </c>
      <c r="F61" s="5">
        <f t="shared" si="0"/>
        <v>2.0045428185716307E-2</v>
      </c>
      <c r="K61" s="3"/>
    </row>
    <row r="62" spans="2:11" ht="17" thickBot="1" x14ac:dyDescent="0.25">
      <c r="B62" s="10">
        <v>45323</v>
      </c>
      <c r="C62" s="13">
        <v>0.95299999999999996</v>
      </c>
      <c r="D62" s="17">
        <f t="shared" si="0"/>
        <v>6.3357972544879626E-3</v>
      </c>
      <c r="E62" s="13">
        <v>507.85000600000001</v>
      </c>
      <c r="F62" s="6">
        <f t="shared" si="0"/>
        <v>5.171057144931912E-2</v>
      </c>
      <c r="K62" s="3"/>
    </row>
    <row r="63" spans="2:11" x14ac:dyDescent="0.2">
      <c r="K63" s="3"/>
    </row>
    <row r="64" spans="2:11" x14ac:dyDescent="0.2">
      <c r="K64" s="3"/>
    </row>
    <row r="65" spans="11:11" x14ac:dyDescent="0.2">
      <c r="K65" s="3"/>
    </row>
    <row r="66" spans="11:11" x14ac:dyDescent="0.2">
      <c r="K66" s="3"/>
    </row>
  </sheetData>
  <mergeCells count="6">
    <mergeCell ref="K30:K33"/>
    <mergeCell ref="K14:L14"/>
    <mergeCell ref="K20:K24"/>
    <mergeCell ref="K25:K29"/>
    <mergeCell ref="H7:I7"/>
    <mergeCell ref="H14:I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0639-6250-44D8-92AC-BE46764642C6}">
  <dimension ref="C1:Y60"/>
  <sheetViews>
    <sheetView showGridLines="0" tabSelected="1" topLeftCell="A36" workbookViewId="0">
      <selection activeCell="H46" sqref="H46"/>
    </sheetView>
  </sheetViews>
  <sheetFormatPr baseColWidth="10" defaultColWidth="10.83203125" defaultRowHeight="16" x14ac:dyDescent="0.2"/>
  <cols>
    <col min="1" max="2" width="10.83203125" style="1"/>
    <col min="3" max="3" width="42.1640625" style="1" bestFit="1" customWidth="1"/>
    <col min="4" max="4" width="17" style="1" bestFit="1" customWidth="1"/>
    <col min="5" max="5" width="11.5" style="1" bestFit="1" customWidth="1"/>
    <col min="6" max="7" width="13.6640625" style="1" bestFit="1" customWidth="1"/>
    <col min="8" max="8" width="14" style="1" bestFit="1" customWidth="1"/>
    <col min="9" max="12" width="13.83203125" style="1" bestFit="1" customWidth="1"/>
    <col min="13" max="13" width="15.5" style="1" bestFit="1" customWidth="1"/>
    <col min="14" max="14" width="10.83203125" style="1"/>
    <col min="15" max="15" width="19.83203125" style="1" bestFit="1" customWidth="1"/>
    <col min="16" max="16" width="10.83203125" style="1"/>
    <col min="17" max="25" width="10.83203125" style="1" bestFit="1" customWidth="1"/>
    <col min="26" max="16384" width="10.83203125" style="1"/>
  </cols>
  <sheetData>
    <row r="1" spans="3:25" ht="17" thickBot="1" x14ac:dyDescent="0.25">
      <c r="S1" s="56"/>
    </row>
    <row r="2" spans="3:25" x14ac:dyDescent="0.2">
      <c r="C2" s="87" t="s">
        <v>81</v>
      </c>
      <c r="D2" s="67" t="s">
        <v>31</v>
      </c>
      <c r="E2" s="67" t="s">
        <v>32</v>
      </c>
      <c r="F2" s="67" t="s">
        <v>33</v>
      </c>
      <c r="G2" s="67" t="s">
        <v>34</v>
      </c>
      <c r="H2" s="67" t="s">
        <v>35</v>
      </c>
      <c r="I2" s="69" t="s">
        <v>36</v>
      </c>
      <c r="J2" s="69" t="s">
        <v>37</v>
      </c>
      <c r="K2" s="69" t="s">
        <v>38</v>
      </c>
      <c r="L2" s="69" t="s">
        <v>39</v>
      </c>
      <c r="M2" s="49" t="s">
        <v>40</v>
      </c>
      <c r="O2" s="97"/>
      <c r="P2" s="47" t="s">
        <v>31</v>
      </c>
      <c r="Q2" s="47" t="s">
        <v>32</v>
      </c>
      <c r="R2" s="47" t="s">
        <v>33</v>
      </c>
      <c r="S2" s="47" t="s">
        <v>34</v>
      </c>
      <c r="T2" s="128" t="s">
        <v>35</v>
      </c>
      <c r="U2" s="48" t="s">
        <v>36</v>
      </c>
      <c r="V2" s="48" t="s">
        <v>37</v>
      </c>
      <c r="W2" s="48" t="s">
        <v>38</v>
      </c>
      <c r="X2" s="48" t="s">
        <v>39</v>
      </c>
      <c r="Y2" s="49" t="s">
        <v>40</v>
      </c>
    </row>
    <row r="3" spans="3:25" x14ac:dyDescent="0.2">
      <c r="C3" s="84" t="s">
        <v>41</v>
      </c>
      <c r="D3" s="50">
        <v>38594.068947336782</v>
      </c>
      <c r="E3" s="50">
        <v>94001.23150853379</v>
      </c>
      <c r="F3" s="50">
        <v>160237.55762246097</v>
      </c>
      <c r="G3" s="50">
        <v>299205.49640690401</v>
      </c>
      <c r="H3" s="50">
        <v>341488.36698636104</v>
      </c>
      <c r="I3" s="60">
        <f>H3*(1+U3)</f>
        <v>382466.97102472442</v>
      </c>
      <c r="J3" s="61">
        <f>I3*(1+V3)</f>
        <v>436012.34696818591</v>
      </c>
      <c r="K3" s="61">
        <f>J3*(1+W3)</f>
        <v>505774.32248309563</v>
      </c>
      <c r="L3" s="61">
        <f>K3*(1+X3)</f>
        <v>576582.72763072909</v>
      </c>
      <c r="M3" s="98">
        <f>L3*(1+Y3)</f>
        <v>645772.65494641662</v>
      </c>
      <c r="O3" s="89" t="s">
        <v>42</v>
      </c>
      <c r="P3" s="1" t="s">
        <v>79</v>
      </c>
      <c r="Q3" s="90">
        <f>E3/D3-1</f>
        <v>1.4356393112320549</v>
      </c>
      <c r="R3" s="90">
        <f>F3/E3-1</f>
        <v>0.70463253566964168</v>
      </c>
      <c r="S3" s="90">
        <f>G3/F3-1</f>
        <v>0.86726196309025316</v>
      </c>
      <c r="T3" s="129">
        <f>H3/G3-1</f>
        <v>0.1413171585656785</v>
      </c>
      <c r="U3" s="56">
        <v>0.12</v>
      </c>
      <c r="V3" s="56">
        <v>0.14000000000000001</v>
      </c>
      <c r="W3" s="56">
        <v>0.16</v>
      </c>
      <c r="X3" s="56">
        <v>0.14000000000000001</v>
      </c>
      <c r="Y3" s="91">
        <v>0.12</v>
      </c>
    </row>
    <row r="4" spans="3:25" x14ac:dyDescent="0.2">
      <c r="C4" s="84" t="s">
        <v>43</v>
      </c>
      <c r="D4" s="51">
        <v>17021.276578394303</v>
      </c>
      <c r="E4" s="51">
        <v>57809.369343940154</v>
      </c>
      <c r="F4" s="51">
        <v>97017.987687612229</v>
      </c>
      <c r="G4" s="51">
        <v>190104.16119689302</v>
      </c>
      <c r="H4" s="51">
        <v>238590.69982033779</v>
      </c>
      <c r="I4" s="61">
        <f ca="1">I3*U4</f>
        <v>259604.83026242495</v>
      </c>
      <c r="J4" s="61">
        <f ca="1">J3*V4</f>
        <v>287266.40746772155</v>
      </c>
      <c r="K4" s="61">
        <f ca="1">K3*W4</f>
        <v>323156.63778608321</v>
      </c>
      <c r="L4" s="61">
        <f ca="1">L3*X4</f>
        <v>356916.03691695473</v>
      </c>
      <c r="M4" s="98">
        <f>M3*Y4</f>
        <v>386885.52756870742</v>
      </c>
      <c r="O4" s="89" t="s">
        <v>44</v>
      </c>
      <c r="P4" s="56">
        <f>D5</f>
        <v>0.44103348111909491</v>
      </c>
      <c r="Q4" s="56">
        <f>E5</f>
        <v>0.61498523387634552</v>
      </c>
      <c r="R4" s="56">
        <f>F5</f>
        <v>0.60546347015721691</v>
      </c>
      <c r="S4" s="56">
        <f>G5</f>
        <v>0.63536319846999467</v>
      </c>
      <c r="T4" s="130">
        <f>H5</f>
        <v>0.69867885083730252</v>
      </c>
      <c r="U4" s="56">
        <f ca="1">AVERAGE(T4,V4)</f>
        <v>0.67876405004824036</v>
      </c>
      <c r="V4" s="56">
        <f t="shared" ref="V4:X4" ca="1" si="0">AVERAGE(U4,W4)</f>
        <v>0.65884924925917809</v>
      </c>
      <c r="W4" s="56">
        <f t="shared" ca="1" si="0"/>
        <v>0.63893444847011582</v>
      </c>
      <c r="X4" s="56">
        <f t="shared" ca="1" si="0"/>
        <v>0.61901964768105344</v>
      </c>
      <c r="Y4" s="91">
        <f>AVERAGE($P$4:$T$4)</f>
        <v>0.59910484689199095</v>
      </c>
    </row>
    <row r="5" spans="3:25" x14ac:dyDescent="0.2">
      <c r="C5" s="84" t="s">
        <v>45</v>
      </c>
      <c r="D5" s="52">
        <f>D4/D3</f>
        <v>0.44103348111909491</v>
      </c>
      <c r="E5" s="52">
        <f>E4/E3</f>
        <v>0.61498523387634552</v>
      </c>
      <c r="F5" s="52">
        <f>F4/F3</f>
        <v>0.60546347015721691</v>
      </c>
      <c r="G5" s="52">
        <f>G4/G3</f>
        <v>0.63536319846999467</v>
      </c>
      <c r="H5" s="52">
        <f>H4/H3</f>
        <v>0.69867885083730252</v>
      </c>
      <c r="I5" s="58">
        <f ca="1">U4</f>
        <v>0.67876405004824036</v>
      </c>
      <c r="J5" s="59">
        <f ca="1">V4</f>
        <v>0.65884924925917809</v>
      </c>
      <c r="K5" s="59">
        <f ca="1">W4</f>
        <v>0.63893444847011582</v>
      </c>
      <c r="L5" s="59">
        <f ca="1">X4</f>
        <v>0.61901964768105344</v>
      </c>
      <c r="M5" s="99">
        <f>Y4</f>
        <v>0.59910484689199095</v>
      </c>
      <c r="O5" s="89" t="s">
        <v>46</v>
      </c>
      <c r="P5" s="56">
        <f>D7</f>
        <v>0.57012689191255161</v>
      </c>
      <c r="Q5" s="56">
        <f>E7</f>
        <v>0.40385348194722304</v>
      </c>
      <c r="R5" s="56">
        <f>F7</f>
        <v>6.3448815536743267E-2</v>
      </c>
      <c r="S5" s="56">
        <f>G7</f>
        <v>5.7722931509339291E-2</v>
      </c>
      <c r="T5" s="130">
        <f>H7</f>
        <v>3.8285923649832354E-2</v>
      </c>
      <c r="U5" s="56">
        <v>0.05</v>
      </c>
      <c r="V5" s="56">
        <v>0.05</v>
      </c>
      <c r="W5" s="56">
        <v>0.05</v>
      </c>
      <c r="X5" s="56">
        <v>0.05</v>
      </c>
      <c r="Y5" s="91">
        <v>0.05</v>
      </c>
    </row>
    <row r="6" spans="3:25" x14ac:dyDescent="0.2">
      <c r="C6" s="84" t="s">
        <v>47</v>
      </c>
      <c r="D6" s="50">
        <v>22003.516575203841</v>
      </c>
      <c r="E6" s="50">
        <v>37962.724652048382</v>
      </c>
      <c r="F6" s="50">
        <v>10166.883235645795</v>
      </c>
      <c r="G6" s="50">
        <v>17271.018376313583</v>
      </c>
      <c r="H6" s="50">
        <v>13074.19754574575</v>
      </c>
      <c r="I6" s="57">
        <f>I3*U5</f>
        <v>19123.34855123622</v>
      </c>
      <c r="J6" s="62">
        <f>J3*V5</f>
        <v>21800.617348409298</v>
      </c>
      <c r="K6" s="62">
        <f>K3*W5</f>
        <v>25288.716124154784</v>
      </c>
      <c r="L6" s="62">
        <f>L3*X5</f>
        <v>28829.136381536457</v>
      </c>
      <c r="M6" s="71">
        <f>M3*Y5</f>
        <v>32288.632747320833</v>
      </c>
      <c r="O6" s="89" t="s">
        <v>66</v>
      </c>
      <c r="Q6" s="90">
        <f>E21/D21-1</f>
        <v>-1.8728995815425482</v>
      </c>
      <c r="R6" s="90">
        <f>F21/E21-1</f>
        <v>-8.32477759225646</v>
      </c>
      <c r="S6" s="90">
        <f>G21/F21-1</f>
        <v>10.970392300372319</v>
      </c>
      <c r="T6" s="129">
        <f>H21/G21-1</f>
        <v>-0.45850287497115627</v>
      </c>
      <c r="U6" s="56">
        <v>-0.3</v>
      </c>
      <c r="V6" s="56">
        <v>0.12</v>
      </c>
      <c r="W6" s="56">
        <v>0.13</v>
      </c>
      <c r="X6" s="56">
        <v>0.11</v>
      </c>
      <c r="Y6" s="91">
        <v>0.09</v>
      </c>
    </row>
    <row r="7" spans="3:25" ht="17" thickBot="1" x14ac:dyDescent="0.25">
      <c r="C7" s="84" t="s">
        <v>48</v>
      </c>
      <c r="D7" s="52">
        <f>D6/D3</f>
        <v>0.57012689191255161</v>
      </c>
      <c r="E7" s="52">
        <f>E6/E3</f>
        <v>0.40385348194722304</v>
      </c>
      <c r="F7" s="52">
        <f>F6/F3</f>
        <v>6.3448815536743267E-2</v>
      </c>
      <c r="G7" s="52">
        <f>G6/G3</f>
        <v>5.7722931509339291E-2</v>
      </c>
      <c r="H7" s="52">
        <f>H6/H3</f>
        <v>3.8285923649832354E-2</v>
      </c>
      <c r="I7" s="58">
        <f>U5</f>
        <v>0.05</v>
      </c>
      <c r="J7" s="59">
        <f>V5</f>
        <v>0.05</v>
      </c>
      <c r="K7" s="59">
        <f>W5</f>
        <v>0.05</v>
      </c>
      <c r="L7" s="59">
        <f>X5</f>
        <v>0.05</v>
      </c>
      <c r="M7" s="99">
        <f>Y5</f>
        <v>0.05</v>
      </c>
      <c r="O7" s="92" t="s">
        <v>78</v>
      </c>
      <c r="P7" s="93"/>
      <c r="Q7" s="94">
        <f>D22/D15</f>
        <v>3.1118640911141599E-2</v>
      </c>
      <c r="R7" s="94">
        <f>E22/E15</f>
        <v>4.5176687592661677E-2</v>
      </c>
      <c r="S7" s="94">
        <f>F22/F15</f>
        <v>5.267972542401439E-2</v>
      </c>
      <c r="T7" s="131">
        <f>G22/G15</f>
        <v>4.8678754923617805E-2</v>
      </c>
      <c r="U7" s="95">
        <v>0.04</v>
      </c>
      <c r="V7" s="95">
        <v>0.04</v>
      </c>
      <c r="W7" s="95">
        <v>0.04</v>
      </c>
      <c r="X7" s="95">
        <v>0.04</v>
      </c>
      <c r="Y7" s="96">
        <v>0.04</v>
      </c>
    </row>
    <row r="8" spans="3:25" x14ac:dyDescent="0.2">
      <c r="C8" s="84" t="s">
        <v>49</v>
      </c>
      <c r="D8" s="50">
        <v>7455.6590004364407</v>
      </c>
      <c r="E8" s="50">
        <v>11801.645515319517</v>
      </c>
      <c r="F8" s="50">
        <v>17677.7693932498</v>
      </c>
      <c r="G8" s="50">
        <v>33385.748693205293</v>
      </c>
      <c r="H8" s="50">
        <v>61123.319205623578</v>
      </c>
      <c r="I8" s="57">
        <f>I22</f>
        <v>37742.49709484374</v>
      </c>
      <c r="J8" s="57">
        <f t="shared" ref="J8:M8" si="1">J22</f>
        <v>40438.199329544077</v>
      </c>
      <c r="K8" s="57">
        <f t="shared" si="1"/>
        <v>43530.721729075689</v>
      </c>
      <c r="L8" s="57">
        <f t="shared" si="1"/>
        <v>47111.849781078774</v>
      </c>
      <c r="M8" s="71">
        <f t="shared" si="1"/>
        <v>51135.191972330009</v>
      </c>
    </row>
    <row r="9" spans="3:25" x14ac:dyDescent="0.2">
      <c r="C9" s="84" t="s">
        <v>50</v>
      </c>
      <c r="D9" s="53">
        <f t="shared" ref="D9:I9" si="2">D3-D4-D6-D8</f>
        <v>-7886.383206697803</v>
      </c>
      <c r="E9" s="53">
        <f t="shared" si="2"/>
        <v>-13572.508002774262</v>
      </c>
      <c r="F9" s="50">
        <f t="shared" si="2"/>
        <v>35374.917305953146</v>
      </c>
      <c r="G9" s="50">
        <f t="shared" si="2"/>
        <v>58444.568140492112</v>
      </c>
      <c r="H9" s="50">
        <f t="shared" si="2"/>
        <v>28700.15041465393</v>
      </c>
      <c r="I9" s="57">
        <f t="shared" ca="1" si="2"/>
        <v>65996.29511621951</v>
      </c>
      <c r="J9" s="57">
        <f t="shared" ref="J9:M9" ca="1" si="3">J3-J4-J6-J8</f>
        <v>86507.122822510981</v>
      </c>
      <c r="K9" s="57">
        <f t="shared" ca="1" si="3"/>
        <v>113798.24684378196</v>
      </c>
      <c r="L9" s="57">
        <f t="shared" ca="1" si="3"/>
        <v>143725.70455115911</v>
      </c>
      <c r="M9" s="71">
        <f t="shared" si="3"/>
        <v>175463.30265805835</v>
      </c>
    </row>
    <row r="10" spans="3:25" ht="17" thickBot="1" x14ac:dyDescent="0.25">
      <c r="C10" s="81" t="s">
        <v>51</v>
      </c>
      <c r="D10" s="53">
        <f t="shared" ref="D10:M10" si="4">D9*TaxRate</f>
        <v>-1440.9936682648968</v>
      </c>
      <c r="E10" s="53">
        <f t="shared" si="4"/>
        <v>-2479.9578693896187</v>
      </c>
      <c r="F10" s="50">
        <f t="shared" si="4"/>
        <v>6463.6767599601762</v>
      </c>
      <c r="G10" s="50">
        <f t="shared" si="4"/>
        <v>10678.945015428615</v>
      </c>
      <c r="H10" s="50">
        <f t="shared" si="4"/>
        <v>5244.0686613659254</v>
      </c>
      <c r="I10" s="57">
        <f t="shared" ca="1" si="4"/>
        <v>12058.790563289702</v>
      </c>
      <c r="J10" s="57">
        <f t="shared" ca="1" si="4"/>
        <v>15806.512691544478</v>
      </c>
      <c r="K10" s="57">
        <f t="shared" ca="1" si="4"/>
        <v>20793.125170771225</v>
      </c>
      <c r="L10" s="57">
        <f t="shared" ca="1" si="4"/>
        <v>26261.446444707068</v>
      </c>
      <c r="M10" s="71">
        <f t="shared" si="4"/>
        <v>32060.515133017412</v>
      </c>
    </row>
    <row r="11" spans="3:25" ht="17" thickBot="1" x14ac:dyDescent="0.25">
      <c r="C11" s="100" t="s">
        <v>67</v>
      </c>
      <c r="D11" s="65">
        <f>D9+D10</f>
        <v>-9327.3768749626997</v>
      </c>
      <c r="E11" s="65">
        <f>E9+E10</f>
        <v>-16052.465872163881</v>
      </c>
      <c r="F11" s="65">
        <f>F9-F10</f>
        <v>28911.240545992969</v>
      </c>
      <c r="G11" s="65">
        <f t="shared" ref="G11:H11" si="5">G9-G10</f>
        <v>47765.623125063496</v>
      </c>
      <c r="H11" s="65">
        <f t="shared" si="5"/>
        <v>23456.081753288003</v>
      </c>
      <c r="I11" s="101">
        <f ca="1">I9-I10</f>
        <v>53937.504552929808</v>
      </c>
      <c r="J11" s="101">
        <f t="shared" ref="J11:M11" ca="1" si="6">J9-J10</f>
        <v>70700.610130966495</v>
      </c>
      <c r="K11" s="101">
        <f t="shared" ca="1" si="6"/>
        <v>93005.121673010741</v>
      </c>
      <c r="L11" s="101">
        <f t="shared" ca="1" si="6"/>
        <v>117464.25810645205</v>
      </c>
      <c r="M11" s="102">
        <f t="shared" si="6"/>
        <v>143402.78752504094</v>
      </c>
    </row>
    <row r="12" spans="3:25" ht="17" thickBot="1" x14ac:dyDescent="0.25"/>
    <row r="13" spans="3:25" x14ac:dyDescent="0.2">
      <c r="C13" s="80" t="s">
        <v>81</v>
      </c>
      <c r="D13" s="67" t="s">
        <v>31</v>
      </c>
      <c r="E13" s="67" t="s">
        <v>32</v>
      </c>
      <c r="F13" s="67" t="s">
        <v>33</v>
      </c>
      <c r="G13" s="67" t="s">
        <v>34</v>
      </c>
      <c r="H13" s="67" t="s">
        <v>35</v>
      </c>
      <c r="I13" s="68" t="s">
        <v>36</v>
      </c>
      <c r="J13" s="69" t="s">
        <v>37</v>
      </c>
      <c r="K13" s="69" t="s">
        <v>38</v>
      </c>
      <c r="L13" s="69" t="s">
        <v>39</v>
      </c>
      <c r="M13" s="49" t="s">
        <v>40</v>
      </c>
    </row>
    <row r="14" spans="3:25" x14ac:dyDescent="0.2">
      <c r="C14" s="81" t="s">
        <v>52</v>
      </c>
      <c r="D14" s="63"/>
      <c r="E14" s="63"/>
      <c r="F14" s="63"/>
      <c r="G14" s="63"/>
      <c r="H14" s="63"/>
      <c r="I14" s="66"/>
      <c r="J14" s="66"/>
      <c r="K14" s="66"/>
      <c r="L14" s="66"/>
      <c r="M14" s="70"/>
    </row>
    <row r="15" spans="3:25" x14ac:dyDescent="0.2">
      <c r="C15" s="82" t="s">
        <v>53</v>
      </c>
      <c r="D15" s="50">
        <v>239588.19479699852</v>
      </c>
      <c r="E15" s="50">
        <v>261233.0860051043</v>
      </c>
      <c r="F15" s="50">
        <v>335570.64413231122</v>
      </c>
      <c r="G15" s="50">
        <v>685838.18024086929</v>
      </c>
      <c r="H15" s="50">
        <v>848571.03442222672</v>
      </c>
      <c r="I15" s="57"/>
      <c r="J15" s="57"/>
      <c r="K15" s="57"/>
      <c r="L15" s="57"/>
      <c r="M15" s="71"/>
    </row>
    <row r="16" spans="3:25" x14ac:dyDescent="0.2">
      <c r="C16" s="82" t="s">
        <v>54</v>
      </c>
      <c r="D16" s="50">
        <v>4791.8096520598283</v>
      </c>
      <c r="E16" s="50">
        <v>3944.1258268325796</v>
      </c>
      <c r="F16" s="50">
        <v>2142.6023702703387</v>
      </c>
      <c r="G16" s="50">
        <v>5299.9252520157115</v>
      </c>
      <c r="H16" s="50">
        <v>5921.7793511299806</v>
      </c>
      <c r="I16" s="55"/>
      <c r="J16" s="55"/>
      <c r="K16" s="55"/>
      <c r="L16" s="55"/>
      <c r="M16" s="72"/>
    </row>
    <row r="17" spans="3:13" x14ac:dyDescent="0.2">
      <c r="C17" s="81" t="s">
        <v>63</v>
      </c>
      <c r="D17" s="64">
        <f>SUM(D15:D16)</f>
        <v>244380.00444905835</v>
      </c>
      <c r="E17" s="64">
        <f t="shared" ref="E17:H17" si="7">SUM(E15:E16)</f>
        <v>265177.2118319369</v>
      </c>
      <c r="F17" s="64">
        <f t="shared" si="7"/>
        <v>337713.24650258158</v>
      </c>
      <c r="G17" s="64">
        <f t="shared" si="7"/>
        <v>691138.10549288499</v>
      </c>
      <c r="H17" s="64">
        <f t="shared" si="7"/>
        <v>854492.81377335673</v>
      </c>
      <c r="I17" s="57">
        <f>H23</f>
        <v>943562.42737109342</v>
      </c>
      <c r="J17" s="57">
        <f t="shared" ref="J17:M17" si="8">I23</f>
        <v>1010954.9832386018</v>
      </c>
      <c r="K17" s="57">
        <f t="shared" si="8"/>
        <v>1088268.0432268921</v>
      </c>
      <c r="L17" s="57">
        <f t="shared" si="8"/>
        <v>1177796.2445269693</v>
      </c>
      <c r="M17" s="71">
        <f t="shared" si="8"/>
        <v>1278379.7993082502</v>
      </c>
    </row>
    <row r="18" spans="3:13" x14ac:dyDescent="0.2">
      <c r="C18" s="81" t="s">
        <v>55</v>
      </c>
      <c r="D18" s="50"/>
      <c r="E18" s="50"/>
      <c r="F18" s="50"/>
      <c r="G18" s="50"/>
      <c r="H18" s="50"/>
      <c r="I18" s="55"/>
      <c r="J18" s="55"/>
      <c r="K18" s="55"/>
      <c r="L18" s="55"/>
      <c r="M18" s="72"/>
    </row>
    <row r="19" spans="3:13" x14ac:dyDescent="0.2">
      <c r="C19" s="82" t="s">
        <v>56</v>
      </c>
      <c r="D19" s="53">
        <v>-424.82387466874297</v>
      </c>
      <c r="E19" s="50">
        <v>5.5969105166079496</v>
      </c>
      <c r="F19" s="50">
        <v>1958.3703777149301</v>
      </c>
      <c r="G19" s="50">
        <v>6246.0836584107801</v>
      </c>
      <c r="H19" s="50">
        <v>5661.80569230727</v>
      </c>
      <c r="I19" s="55"/>
      <c r="J19" s="55"/>
      <c r="K19" s="55"/>
      <c r="L19" s="55"/>
      <c r="M19" s="72"/>
    </row>
    <row r="20" spans="3:13" x14ac:dyDescent="0.2">
      <c r="C20" s="82" t="s">
        <v>57</v>
      </c>
      <c r="D20" s="50">
        <v>4048.80753885683</v>
      </c>
      <c r="E20" s="53">
        <v>-3168.9707345034199</v>
      </c>
      <c r="F20" s="50">
        <v>21212.639324154301</v>
      </c>
      <c r="G20" s="50">
        <v>271119.99246869702</v>
      </c>
      <c r="H20" s="50">
        <v>144531.12711105301</v>
      </c>
      <c r="I20" s="55"/>
      <c r="J20" s="55"/>
      <c r="K20" s="55"/>
      <c r="L20" s="55"/>
      <c r="M20" s="72"/>
    </row>
    <row r="21" spans="3:13" x14ac:dyDescent="0.2">
      <c r="C21" s="81" t="s">
        <v>58</v>
      </c>
      <c r="D21" s="50">
        <f>SUM(D19:D20)</f>
        <v>3623.983664188087</v>
      </c>
      <c r="E21" s="50">
        <f>SUM(E19:E20)</f>
        <v>-3163.3738239868121</v>
      </c>
      <c r="F21" s="50">
        <f>SUM(F19:F20)</f>
        <v>23171.009701869232</v>
      </c>
      <c r="G21" s="50">
        <f>SUM(G19:G20)</f>
        <v>277366.07612710778</v>
      </c>
      <c r="H21" s="50">
        <f>SUM(H19:H20)</f>
        <v>150192.93280336028</v>
      </c>
      <c r="I21" s="57">
        <f>H21*(1+U6)</f>
        <v>105135.05296235219</v>
      </c>
      <c r="J21" s="57">
        <f>I21*(1+V6)</f>
        <v>117751.25931783445</v>
      </c>
      <c r="K21" s="57">
        <f>J21*(1+W6)</f>
        <v>133058.92302915291</v>
      </c>
      <c r="L21" s="57">
        <f>K21*(1+X6)</f>
        <v>147695.40456235973</v>
      </c>
      <c r="M21" s="71">
        <f>L21*(1+Y6)</f>
        <v>160987.99097297213</v>
      </c>
    </row>
    <row r="22" spans="3:13" ht="17" thickBot="1" x14ac:dyDescent="0.25">
      <c r="C22" s="81" t="s">
        <v>64</v>
      </c>
      <c r="D22" s="54">
        <v>7455.6590004364407</v>
      </c>
      <c r="E22" s="54">
        <v>11801.645515319517</v>
      </c>
      <c r="F22" s="54">
        <v>17677.7693932498</v>
      </c>
      <c r="G22" s="54">
        <v>33385.748693205293</v>
      </c>
      <c r="H22" s="54">
        <v>61123.319205623578</v>
      </c>
      <c r="I22" s="126">
        <f>I17*U7</f>
        <v>37742.49709484374</v>
      </c>
      <c r="J22" s="126">
        <f>J17*V7</f>
        <v>40438.199329544077</v>
      </c>
      <c r="K22" s="126">
        <f>K17*W7</f>
        <v>43530.721729075689</v>
      </c>
      <c r="L22" s="126">
        <f>L17*X7</f>
        <v>47111.849781078774</v>
      </c>
      <c r="M22" s="127">
        <f>M17*Y7</f>
        <v>51135.191972330009</v>
      </c>
    </row>
    <row r="23" spans="3:13" ht="17" thickBot="1" x14ac:dyDescent="0.25">
      <c r="C23" s="83" t="s">
        <v>65</v>
      </c>
      <c r="D23" s="54">
        <f>D17+D21-D22</f>
        <v>240548.32911281002</v>
      </c>
      <c r="E23" s="54">
        <f t="shared" ref="E23:M23" si="9">E17+E21-E22</f>
        <v>250212.19249263057</v>
      </c>
      <c r="F23" s="54">
        <f t="shared" si="9"/>
        <v>343206.48681120097</v>
      </c>
      <c r="G23" s="54">
        <f t="shared" si="9"/>
        <v>935118.43292678741</v>
      </c>
      <c r="H23" s="54">
        <f t="shared" si="9"/>
        <v>943562.42737109342</v>
      </c>
      <c r="I23" s="73">
        <f t="shared" si="9"/>
        <v>1010954.9832386018</v>
      </c>
      <c r="J23" s="73">
        <f t="shared" si="9"/>
        <v>1088268.0432268921</v>
      </c>
      <c r="K23" s="73">
        <f t="shared" si="9"/>
        <v>1177796.2445269693</v>
      </c>
      <c r="L23" s="73">
        <f t="shared" si="9"/>
        <v>1278379.7993082502</v>
      </c>
      <c r="M23" s="74">
        <f t="shared" si="9"/>
        <v>1388232.5983088922</v>
      </c>
    </row>
    <row r="24" spans="3:13" ht="17" thickBot="1" x14ac:dyDescent="0.25"/>
    <row r="25" spans="3:13" x14ac:dyDescent="0.2">
      <c r="C25" s="87" t="s">
        <v>81</v>
      </c>
      <c r="D25" s="67" t="s">
        <v>31</v>
      </c>
      <c r="E25" s="67" t="s">
        <v>32</v>
      </c>
      <c r="F25" s="67" t="s">
        <v>33</v>
      </c>
      <c r="G25" s="67" t="s">
        <v>34</v>
      </c>
      <c r="H25" s="67" t="s">
        <v>35</v>
      </c>
      <c r="I25" s="68" t="s">
        <v>36</v>
      </c>
      <c r="J25" s="69" t="s">
        <v>37</v>
      </c>
      <c r="K25" s="69" t="s">
        <v>38</v>
      </c>
      <c r="L25" s="69" t="s">
        <v>39</v>
      </c>
      <c r="M25" s="49" t="s">
        <v>40</v>
      </c>
    </row>
    <row r="26" spans="3:13" x14ac:dyDescent="0.2">
      <c r="C26" s="84" t="s">
        <v>59</v>
      </c>
      <c r="D26" s="50">
        <v>18588</v>
      </c>
      <c r="E26" s="50">
        <v>62568</v>
      </c>
      <c r="F26" s="50">
        <v>113619</v>
      </c>
      <c r="G26" s="50">
        <v>321096</v>
      </c>
      <c r="H26" s="50">
        <v>237023</v>
      </c>
      <c r="I26" s="103">
        <f>H26*(1+U3)</f>
        <v>265465.76</v>
      </c>
      <c r="J26" s="103">
        <f>I26*(1+V3)</f>
        <v>302630.96640000003</v>
      </c>
      <c r="K26" s="103">
        <f>J26*(1+W3)</f>
        <v>351051.92102400004</v>
      </c>
      <c r="L26" s="103">
        <f>K26*(1+X3)</f>
        <v>400199.18996736011</v>
      </c>
      <c r="M26" s="104">
        <f>L26*(1+Y3)</f>
        <v>448223.09276344336</v>
      </c>
    </row>
    <row r="27" spans="3:13" x14ac:dyDescent="0.2">
      <c r="C27" s="84" t="s">
        <v>60</v>
      </c>
      <c r="D27" s="50">
        <v>27863</v>
      </c>
      <c r="E27" s="50">
        <v>61099</v>
      </c>
      <c r="F27" s="50">
        <v>96188</v>
      </c>
      <c r="G27" s="50">
        <v>275619</v>
      </c>
      <c r="H27" s="50">
        <v>235360</v>
      </c>
      <c r="I27" s="105">
        <f>H27*(1+U3)</f>
        <v>263603.20000000001</v>
      </c>
      <c r="J27" s="105">
        <f>I27*(1+V3)</f>
        <v>300507.64800000004</v>
      </c>
      <c r="K27" s="105">
        <f>J27*(1+W3)</f>
        <v>348588.87168000004</v>
      </c>
      <c r="L27" s="105">
        <f>K27*(1+X3)</f>
        <v>397391.31371520011</v>
      </c>
      <c r="M27" s="106">
        <f>L27*(1+Y3)</f>
        <v>445078.27136102418</v>
      </c>
    </row>
    <row r="28" spans="3:13" ht="17" thickBot="1" x14ac:dyDescent="0.25">
      <c r="C28" s="84" t="s">
        <v>61</v>
      </c>
      <c r="D28" s="54">
        <f>D26-D27</f>
        <v>-9275</v>
      </c>
      <c r="E28" s="54">
        <f t="shared" ref="E28:H28" si="10">E26-E27</f>
        <v>1469</v>
      </c>
      <c r="F28" s="54">
        <f t="shared" si="10"/>
        <v>17431</v>
      </c>
      <c r="G28" s="54">
        <f t="shared" si="10"/>
        <v>45477</v>
      </c>
      <c r="H28" s="54">
        <f t="shared" si="10"/>
        <v>1663</v>
      </c>
      <c r="I28" s="73">
        <f t="shared" ref="I28:M28" si="11">I26-I27</f>
        <v>1862.5599999999977</v>
      </c>
      <c r="J28" s="73">
        <f t="shared" si="11"/>
        <v>2123.3183999999892</v>
      </c>
      <c r="K28" s="73">
        <f t="shared" si="11"/>
        <v>2463.0493439999991</v>
      </c>
      <c r="L28" s="73">
        <f t="shared" si="11"/>
        <v>2807.8762521600001</v>
      </c>
      <c r="M28" s="74">
        <f t="shared" si="11"/>
        <v>3144.8214024191839</v>
      </c>
    </row>
    <row r="29" spans="3:13" ht="17" thickBot="1" x14ac:dyDescent="0.25">
      <c r="C29" s="85" t="s">
        <v>62</v>
      </c>
      <c r="D29" s="54"/>
      <c r="E29" s="54">
        <f>E28-D28</f>
        <v>10744</v>
      </c>
      <c r="F29" s="54">
        <f>F28-E28</f>
        <v>15962</v>
      </c>
      <c r="G29" s="54">
        <f>G28-F28</f>
        <v>28046</v>
      </c>
      <c r="H29" s="54">
        <f>H28-G28</f>
        <v>-43814</v>
      </c>
      <c r="I29" s="73">
        <f t="shared" ref="I29:L29" si="12">I28-H28</f>
        <v>199.55999999999767</v>
      </c>
      <c r="J29" s="73">
        <f t="shared" si="12"/>
        <v>260.75839999999152</v>
      </c>
      <c r="K29" s="73">
        <f t="shared" si="12"/>
        <v>339.73094400000991</v>
      </c>
      <c r="L29" s="73">
        <f t="shared" si="12"/>
        <v>344.82690816000104</v>
      </c>
      <c r="M29" s="74">
        <f>M28-L28</f>
        <v>336.94515025918372</v>
      </c>
    </row>
    <row r="30" spans="3:13" ht="17" thickBot="1" x14ac:dyDescent="0.25"/>
    <row r="31" spans="3:13" x14ac:dyDescent="0.2">
      <c r="C31" s="87" t="s">
        <v>81</v>
      </c>
      <c r="D31" s="67" t="s">
        <v>31</v>
      </c>
      <c r="E31" s="67" t="s">
        <v>32</v>
      </c>
      <c r="F31" s="67" t="s">
        <v>33</v>
      </c>
      <c r="G31" s="67" t="s">
        <v>34</v>
      </c>
      <c r="H31" s="67" t="s">
        <v>35</v>
      </c>
      <c r="I31" s="68" t="s">
        <v>36</v>
      </c>
      <c r="J31" s="69" t="s">
        <v>37</v>
      </c>
      <c r="K31" s="69" t="s">
        <v>38</v>
      </c>
      <c r="L31" s="69" t="s">
        <v>39</v>
      </c>
      <c r="M31" s="49" t="s">
        <v>40</v>
      </c>
    </row>
    <row r="32" spans="3:13" x14ac:dyDescent="0.2">
      <c r="C32" s="81" t="s">
        <v>67</v>
      </c>
      <c r="D32" s="117">
        <f t="shared" ref="D32:M32" si="13">D11</f>
        <v>-9327.3768749626997</v>
      </c>
      <c r="E32" s="117">
        <f t="shared" si="13"/>
        <v>-16052.465872163881</v>
      </c>
      <c r="F32" s="118">
        <f t="shared" si="13"/>
        <v>28911.240545992969</v>
      </c>
      <c r="G32" s="118">
        <f t="shared" si="13"/>
        <v>47765.623125063496</v>
      </c>
      <c r="H32" s="118">
        <f t="shared" si="13"/>
        <v>23456.081753288003</v>
      </c>
      <c r="I32" s="119">
        <f t="shared" ca="1" si="13"/>
        <v>53937.504552929808</v>
      </c>
      <c r="J32" s="120">
        <f t="shared" ca="1" si="13"/>
        <v>70700.610130966495</v>
      </c>
      <c r="K32" s="120">
        <f t="shared" ca="1" si="13"/>
        <v>93005.121673010741</v>
      </c>
      <c r="L32" s="120">
        <f t="shared" ca="1" si="13"/>
        <v>117464.25810645205</v>
      </c>
      <c r="M32" s="121">
        <f t="shared" si="13"/>
        <v>143402.78752504094</v>
      </c>
    </row>
    <row r="33" spans="3:13" x14ac:dyDescent="0.2">
      <c r="C33" s="81" t="s">
        <v>68</v>
      </c>
      <c r="D33" s="50">
        <f t="shared" ref="D33:M33" si="14">D22</f>
        <v>7455.6590004364407</v>
      </c>
      <c r="E33" s="50">
        <f t="shared" si="14"/>
        <v>11801.645515319517</v>
      </c>
      <c r="F33" s="50">
        <f t="shared" si="14"/>
        <v>17677.7693932498</v>
      </c>
      <c r="G33" s="50">
        <f t="shared" si="14"/>
        <v>33385.748693205293</v>
      </c>
      <c r="H33" s="50">
        <f t="shared" si="14"/>
        <v>61123.319205623578</v>
      </c>
      <c r="I33" s="122">
        <f t="shared" si="14"/>
        <v>37742.49709484374</v>
      </c>
      <c r="J33" s="122">
        <f t="shared" si="14"/>
        <v>40438.199329544077</v>
      </c>
      <c r="K33" s="122">
        <f t="shared" si="14"/>
        <v>43530.721729075689</v>
      </c>
      <c r="L33" s="122">
        <f t="shared" si="14"/>
        <v>47111.849781078774</v>
      </c>
      <c r="M33" s="123">
        <f t="shared" si="14"/>
        <v>51135.191972330009</v>
      </c>
    </row>
    <row r="34" spans="3:13" x14ac:dyDescent="0.2">
      <c r="C34" s="81" t="s">
        <v>69</v>
      </c>
      <c r="D34" s="50">
        <f t="shared" ref="D34:M34" si="15">D21</f>
        <v>3623.983664188087</v>
      </c>
      <c r="E34" s="50">
        <f t="shared" si="15"/>
        <v>-3163.3738239868121</v>
      </c>
      <c r="F34" s="50">
        <f t="shared" si="15"/>
        <v>23171.009701869232</v>
      </c>
      <c r="G34" s="50">
        <f t="shared" si="15"/>
        <v>277366.07612710778</v>
      </c>
      <c r="H34" s="50">
        <f t="shared" si="15"/>
        <v>150192.93280336028</v>
      </c>
      <c r="I34" s="124">
        <f t="shared" si="15"/>
        <v>105135.05296235219</v>
      </c>
      <c r="J34" s="124">
        <f t="shared" si="15"/>
        <v>117751.25931783445</v>
      </c>
      <c r="K34" s="124">
        <f t="shared" si="15"/>
        <v>133058.92302915291</v>
      </c>
      <c r="L34" s="124">
        <f t="shared" si="15"/>
        <v>147695.40456235973</v>
      </c>
      <c r="M34" s="125">
        <f t="shared" si="15"/>
        <v>160987.99097297213</v>
      </c>
    </row>
    <row r="35" spans="3:13" ht="17" thickBot="1" x14ac:dyDescent="0.25">
      <c r="C35" s="81" t="s">
        <v>70</v>
      </c>
      <c r="D35" s="54">
        <f t="shared" ref="D35:M35" si="16">D29</f>
        <v>0</v>
      </c>
      <c r="E35" s="54">
        <f t="shared" si="16"/>
        <v>10744</v>
      </c>
      <c r="F35" s="54">
        <f t="shared" si="16"/>
        <v>15962</v>
      </c>
      <c r="G35" s="54">
        <f t="shared" si="16"/>
        <v>28046</v>
      </c>
      <c r="H35" s="54">
        <f t="shared" si="16"/>
        <v>-43814</v>
      </c>
      <c r="I35" s="126">
        <f t="shared" si="16"/>
        <v>199.55999999999767</v>
      </c>
      <c r="J35" s="126">
        <f t="shared" si="16"/>
        <v>260.75839999999152</v>
      </c>
      <c r="K35" s="126">
        <f t="shared" si="16"/>
        <v>339.73094400000991</v>
      </c>
      <c r="L35" s="126">
        <f t="shared" si="16"/>
        <v>344.82690816000104</v>
      </c>
      <c r="M35" s="127">
        <f t="shared" si="16"/>
        <v>336.94515025918372</v>
      </c>
    </row>
    <row r="36" spans="3:13" ht="17" thickBot="1" x14ac:dyDescent="0.25">
      <c r="C36" s="25"/>
      <c r="D36" s="54">
        <f>D32+D33-D34-D35</f>
        <v>-5495.7015387143456</v>
      </c>
      <c r="E36" s="54">
        <f t="shared" ref="E36:M36" si="17">E32+E33-E34-E35</f>
        <v>-11831.446532857552</v>
      </c>
      <c r="F36" s="54">
        <f t="shared" si="17"/>
        <v>7456.0002373735333</v>
      </c>
      <c r="G36" s="54">
        <f t="shared" si="17"/>
        <v>-224260.70430883899</v>
      </c>
      <c r="H36" s="54">
        <f t="shared" si="17"/>
        <v>-21799.531844448706</v>
      </c>
      <c r="I36" s="73">
        <f t="shared" ca="1" si="17"/>
        <v>-13654.611314578637</v>
      </c>
      <c r="J36" s="73">
        <f t="shared" ca="1" si="17"/>
        <v>-6873.2082573238731</v>
      </c>
      <c r="K36" s="73">
        <f t="shared" ca="1" si="17"/>
        <v>3137.1894289335178</v>
      </c>
      <c r="L36" s="73">
        <f t="shared" ca="1" si="17"/>
        <v>16535.876417011081</v>
      </c>
      <c r="M36" s="74">
        <f t="shared" si="17"/>
        <v>33213.043374139641</v>
      </c>
    </row>
    <row r="38" spans="3:13" ht="17" thickBot="1" x14ac:dyDescent="0.25"/>
    <row r="39" spans="3:13" x14ac:dyDescent="0.2">
      <c r="C39" s="86" t="s">
        <v>71</v>
      </c>
      <c r="D39" s="75"/>
      <c r="E39" s="75"/>
      <c r="F39" s="75"/>
      <c r="G39" s="75"/>
      <c r="H39" s="113">
        <f>M36*(1-Long_gr)/(WACC-Long_gr)</f>
        <v>719925.90683718084</v>
      </c>
    </row>
    <row r="40" spans="3:13" ht="17" thickBot="1" x14ac:dyDescent="0.25">
      <c r="C40" s="85" t="s">
        <v>72</v>
      </c>
      <c r="D40" s="76">
        <f ca="1">I36</f>
        <v>-13654.611314578637</v>
      </c>
      <c r="E40" s="76">
        <f ca="1">J36</f>
        <v>-6873.2082573238731</v>
      </c>
      <c r="F40" s="76">
        <f ca="1">K36</f>
        <v>3137.1894289335178</v>
      </c>
      <c r="G40" s="76">
        <f ca="1">L36</f>
        <v>16535.876417011081</v>
      </c>
      <c r="H40" s="77">
        <f ca="1">G40+H39</f>
        <v>736461.78325419198</v>
      </c>
    </row>
    <row r="41" spans="3:13" ht="17" thickBot="1" x14ac:dyDescent="0.25">
      <c r="C41" s="107"/>
      <c r="D41" s="78"/>
      <c r="E41" s="78"/>
      <c r="F41" s="78"/>
      <c r="G41" s="78"/>
      <c r="H41" s="78"/>
    </row>
    <row r="42" spans="3:13" ht="17" thickBot="1" x14ac:dyDescent="0.25">
      <c r="C42" s="100" t="s">
        <v>76</v>
      </c>
      <c r="D42" s="133">
        <v>2.7E-2</v>
      </c>
      <c r="E42" s="78"/>
      <c r="F42" s="78"/>
      <c r="G42" s="78"/>
      <c r="H42" s="78"/>
    </row>
    <row r="43" spans="3:13" ht="17" thickBot="1" x14ac:dyDescent="0.25">
      <c r="C43" s="107"/>
      <c r="D43" s="112"/>
      <c r="E43" s="78"/>
      <c r="F43" s="78"/>
      <c r="G43" s="78"/>
      <c r="H43" s="78"/>
    </row>
    <row r="44" spans="3:13" ht="17" thickBot="1" x14ac:dyDescent="0.25">
      <c r="C44" s="140" t="s">
        <v>89</v>
      </c>
      <c r="D44" s="141"/>
      <c r="E44" s="78"/>
      <c r="F44" s="78"/>
      <c r="G44" s="78"/>
      <c r="H44" s="78"/>
    </row>
    <row r="45" spans="3:13" x14ac:dyDescent="0.2">
      <c r="C45" s="84" t="s">
        <v>80</v>
      </c>
      <c r="D45" s="114">
        <f ca="1">NPV(WACC,E40:H40)</f>
        <v>567639.63873686735</v>
      </c>
    </row>
    <row r="46" spans="3:13" x14ac:dyDescent="0.2">
      <c r="C46" s="84" t="s">
        <v>73</v>
      </c>
      <c r="D46" s="114">
        <f>'CAPM &amp; WACC'!I16</f>
        <v>455700</v>
      </c>
    </row>
    <row r="47" spans="3:13" x14ac:dyDescent="0.2">
      <c r="C47" s="84" t="s">
        <v>74</v>
      </c>
      <c r="D47" s="114">
        <v>176389.02380536226</v>
      </c>
    </row>
    <row r="48" spans="3:13" x14ac:dyDescent="0.2">
      <c r="C48" s="84" t="s">
        <v>75</v>
      </c>
      <c r="D48" s="114">
        <f ca="1">D45-D46+D47</f>
        <v>288328.66254222963</v>
      </c>
    </row>
    <row r="49" spans="3:6" x14ac:dyDescent="0.2">
      <c r="C49" s="84" t="s">
        <v>77</v>
      </c>
      <c r="D49" s="79">
        <f>Shares</f>
        <v>159249</v>
      </c>
    </row>
    <row r="50" spans="3:6" x14ac:dyDescent="0.2">
      <c r="C50" s="84" t="s">
        <v>84</v>
      </c>
      <c r="D50" s="88">
        <f ca="1">D48/D49</f>
        <v>1.8105524213164894</v>
      </c>
      <c r="F50" s="132"/>
    </row>
    <row r="51" spans="3:6" x14ac:dyDescent="0.2">
      <c r="C51" s="84" t="s">
        <v>82</v>
      </c>
      <c r="D51" s="42">
        <f>'CAPM &amp; WACC'!L18</f>
        <v>1.026</v>
      </c>
    </row>
    <row r="52" spans="3:6" ht="17" thickBot="1" x14ac:dyDescent="0.25">
      <c r="C52" s="85" t="s">
        <v>83</v>
      </c>
      <c r="D52" s="110" t="str">
        <f ca="1">IF(D50&gt;D51, "Undervalued", "Overvalued")</f>
        <v>Undervalued</v>
      </c>
    </row>
    <row r="53" spans="3:6" ht="17" thickBot="1" x14ac:dyDescent="0.25"/>
    <row r="54" spans="3:6" ht="17" thickBot="1" x14ac:dyDescent="0.25">
      <c r="C54" s="140" t="s">
        <v>91</v>
      </c>
      <c r="D54" s="141"/>
    </row>
    <row r="55" spans="3:6" x14ac:dyDescent="0.2">
      <c r="C55" s="84" t="s">
        <v>17</v>
      </c>
      <c r="D55" s="114">
        <f>'CAPM &amp; WACC'!I15</f>
        <v>163389.47400000002</v>
      </c>
    </row>
    <row r="56" spans="3:6" x14ac:dyDescent="0.2">
      <c r="C56" s="84" t="s">
        <v>85</v>
      </c>
      <c r="D56" s="115">
        <f>D55*30%</f>
        <v>49016.842200000006</v>
      </c>
    </row>
    <row r="57" spans="3:6" x14ac:dyDescent="0.2">
      <c r="C57" s="84" t="s">
        <v>86</v>
      </c>
      <c r="D57" s="114">
        <f>D46</f>
        <v>455700</v>
      </c>
    </row>
    <row r="58" spans="3:6" x14ac:dyDescent="0.2">
      <c r="C58" s="84" t="s">
        <v>74</v>
      </c>
      <c r="D58" s="114">
        <v>176389.02380536226</v>
      </c>
    </row>
    <row r="59" spans="3:6" x14ac:dyDescent="0.2">
      <c r="C59" s="84" t="s">
        <v>87</v>
      </c>
      <c r="D59" s="114">
        <f>D55+D56+D57-D58</f>
        <v>491717.29239463771</v>
      </c>
    </row>
    <row r="60" spans="3:6" ht="17" thickBot="1" x14ac:dyDescent="0.25">
      <c r="C60" s="85" t="s">
        <v>88</v>
      </c>
      <c r="D60" s="116">
        <f ca="1">D45-D59</f>
        <v>75922.346342229634</v>
      </c>
    </row>
  </sheetData>
  <mergeCells count="2">
    <mergeCell ref="C54:D54"/>
    <mergeCell ref="C44:D4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B176D7BBDF41A74E54269278725B" ma:contentTypeVersion="4" ma:contentTypeDescription="Create a new document." ma:contentTypeScope="" ma:versionID="42d5442d91e3a090418b2da06a1c9b0c">
  <xsd:schema xmlns:xsd="http://www.w3.org/2001/XMLSchema" xmlns:xs="http://www.w3.org/2001/XMLSchema" xmlns:p="http://schemas.microsoft.com/office/2006/metadata/properties" xmlns:ns2="8cd2ef68-4fa5-40fe-9749-3af5d85a619e" targetNamespace="http://schemas.microsoft.com/office/2006/metadata/properties" ma:root="true" ma:fieldsID="16da97ed6306e9bbb6a0827d328cdf1d" ns2:_="">
    <xsd:import namespace="8cd2ef68-4fa5-40fe-9749-3af5d85a6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2ef68-4fa5-40fe-9749-3af5d85a6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5953D-A9FF-4A7E-BD20-1FCE9C357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2ef68-4fa5-40fe-9749-3af5d85a6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582F44-531A-41E5-834F-204479C880A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cd2ef68-4fa5-40fe-9749-3af5d85a619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03D728-AD18-4274-BA3A-DB64E9EF4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General Info</vt:lpstr>
      <vt:lpstr>Tear Sheet</vt:lpstr>
      <vt:lpstr>CAPM &amp; WACC</vt:lpstr>
      <vt:lpstr>FCF</vt:lpstr>
      <vt:lpstr>Beta</vt:lpstr>
      <vt:lpstr>CAGR</vt:lpstr>
      <vt:lpstr>CAGR_SPY</vt:lpstr>
      <vt:lpstr>EquityValue</vt:lpstr>
      <vt:lpstr>Long_gr</vt:lpstr>
      <vt:lpstr>Rf</vt:lpstr>
      <vt:lpstr>Rm</vt:lpstr>
      <vt:lpstr>Shares</vt:lpstr>
      <vt:lpstr>TaxRate</vt:lpstr>
      <vt:lpstr>TotalDebt</vt:lpstr>
      <vt:lpstr>WACC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Abulkhair Adam</dc:creator>
  <cp:keywords/>
  <dc:description/>
  <cp:lastModifiedBy>Shravani Neeli</cp:lastModifiedBy>
  <cp:revision/>
  <dcterms:created xsi:type="dcterms:W3CDTF">2024-02-26T20:52:51Z</dcterms:created>
  <dcterms:modified xsi:type="dcterms:W3CDTF">2024-03-07T22:32:45Z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0x010100048DB176D7BBDF41A74E54269278725B</vt:lpwstr>
  </property>
</Properties>
</file>